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esh\Dropbox\Nayak\MDM 2019-20\PAB 2020-21\"/>
    </mc:Choice>
  </mc:AlternateContent>
  <xr:revisionPtr revIDLastSave="0" documentId="13_ncr:1_{F2ACB041-4790-40D0-9D5F-9EA4654243B4}" xr6:coauthVersionLast="45" xr6:coauthVersionMax="45" xr10:uidLastSave="{00000000-0000-0000-0000-000000000000}"/>
  <bookViews>
    <workbookView xWindow="-120" yWindow="-120" windowWidth="20730" windowHeight="11160" tabRatio="935" activeTab="9" xr2:uid="{00000000-000D-0000-FFFF-FFFF00000000}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58" r:id="rId41"/>
    <sheet name="AT-14 A" sheetId="135" r:id="rId42"/>
    <sheet name="AT-15" sheetId="132" r:id="rId43"/>
    <sheet name="AT-16" sheetId="133" r:id="rId44"/>
    <sheet name="AT_17_Coverage-RBSK  " sheetId="165" r:id="rId45"/>
    <sheet name="AT18_Details_Community " sheetId="66" r:id="rId46"/>
    <sheet name="AT_19_Impl_Agency" sheetId="160" r:id="rId47"/>
    <sheet name="AT_20_CentralCookingagency  (2)" sheetId="161" r:id="rId48"/>
    <sheet name="AT-21" sheetId="105" r:id="rId49"/>
    <sheet name="AT-22" sheetId="108" r:id="rId50"/>
    <sheet name="AT-23 MIS" sheetId="162" r:id="rId51"/>
    <sheet name="AT-23A _AMS " sheetId="163" r:id="rId52"/>
    <sheet name="AT-24" sheetId="104" r:id="rId53"/>
    <sheet name="AT-25 " sheetId="164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27E_Req_FG_Covid Summ -Pry" sheetId="174" r:id="rId63"/>
    <sheet name="AT27F_Req_FG_Covid-Summ-UPry" sheetId="175" r:id="rId64"/>
    <sheet name="AT_28_RqmtKitchen" sheetId="62" r:id="rId65"/>
    <sheet name="AT-28A_RqmtPlinthArea" sheetId="78" r:id="rId66"/>
    <sheet name="AT-28B_Kitchen repair" sheetId="152" r:id="rId67"/>
    <sheet name="AT29_Replacement KD " sheetId="154" r:id="rId68"/>
    <sheet name="AT29_A_Replacement KD" sheetId="153" r:id="rId69"/>
    <sheet name="AT-30_Coook-cum-Helper" sheetId="65" r:id="rId70"/>
    <sheet name="AT_31_Budget_provision " sheetId="98" r:id="rId71"/>
    <sheet name="AT32_Drought Pry Util" sheetId="148" r:id="rId72"/>
    <sheet name="AT-32A Drought UPry Util" sheetId="149" r:id="rId73"/>
    <sheet name="AT 34 MME Plan PS" sheetId="166" r:id="rId74"/>
    <sheet name="AT 34A MME Plan UPS " sheetId="167" r:id="rId75"/>
    <sheet name="Flexi Soya Milk" sheetId="169" r:id="rId76"/>
    <sheet name="Flexi Break Fast" sheetId="171" r:id="rId77"/>
    <sheet name="Flexi Egg" sheetId="172" r:id="rId78"/>
    <sheet name="Sheet6" sheetId="173" r:id="rId79"/>
  </sheets>
  <externalReferences>
    <externalReference r:id="rId80"/>
  </externalReferences>
  <definedNames>
    <definedName name="_xlnm.Print_Area" localSheetId="44">'AT_17_Coverage-RBSK  '!$A$1:$L$49</definedName>
    <definedName name="_xlnm.Print_Area" localSheetId="46">AT_19_Impl_Agency!$A$1:$J$52</definedName>
    <definedName name="_xlnm.Print_Area" localSheetId="47">'AT_20_CentralCookingagency  (2)'!$A$1:$M$49</definedName>
    <definedName name="_xlnm.Print_Area" localSheetId="64">AT_28_RqmtKitchen!$A$1:$R$45</definedName>
    <definedName name="_xlnm.Print_Area" localSheetId="5">AT_2A_fundflow!$A$1:$V$30</definedName>
    <definedName name="_xlnm.Print_Area" localSheetId="70">'AT_31_Budget_provision '!$A$1:$W$35</definedName>
    <definedName name="_xlnm.Print_Area" localSheetId="30">'AT-10 B'!$A$1:$I$44</definedName>
    <definedName name="_xlnm.Print_Area" localSheetId="31">'AT-10 C'!$A$1:$J$17</definedName>
    <definedName name="_xlnm.Print_Area" localSheetId="33">'AT-10 E'!$A$1:$H$43</definedName>
    <definedName name="_xlnm.Print_Area" localSheetId="34">'AT-10 F'!$A$1:$H$43</definedName>
    <definedName name="_xlnm.Print_Area" localSheetId="28">AT10_MME!$A$1:$H$32</definedName>
    <definedName name="_xlnm.Print_Area" localSheetId="29">AT10A_!$A$1:$E$46</definedName>
    <definedName name="_xlnm.Print_Area" localSheetId="32">'AT-10D'!$A$1:$H$13</definedName>
    <definedName name="_xlnm.Print_Area" localSheetId="35">'AT11_KS Year wise'!$A$1:$K$33</definedName>
    <definedName name="_xlnm.Print_Area" localSheetId="36">'AT11A_KS-District wise'!$A$1:$K$48</definedName>
    <definedName name="_xlnm.Print_Area" localSheetId="37">'AT12_KD-New'!$A$1:$K$47</definedName>
    <definedName name="_xlnm.Print_Area" localSheetId="38">'AT12A_KD-Replacement'!$A$1:$K$47</definedName>
    <definedName name="_xlnm.Print_Area" localSheetId="40">'AT-14'!$A$1:$N$42</definedName>
    <definedName name="_xlnm.Print_Area" localSheetId="41">'AT-14 A'!$A$1:$H$42</definedName>
    <definedName name="_xlnm.Print_Area" localSheetId="42">'AT-15'!$A$1:$L$33</definedName>
    <definedName name="_xlnm.Print_Area" localSheetId="43">'AT-16'!$A$1:$K$43</definedName>
    <definedName name="_xlnm.Print_Area" localSheetId="45">'AT18_Details_Community '!$A$1:$F$45</definedName>
    <definedName name="_xlnm.Print_Area" localSheetId="3">'AT-1-Gen_Info '!$A$1:$T$58</definedName>
    <definedName name="_xlnm.Print_Area" localSheetId="51">'AT-23A _AMS '!$A$1:$L$49</definedName>
    <definedName name="_xlnm.Print_Area" localSheetId="52">'AT-24'!$A$1:$M$44</definedName>
    <definedName name="_xlnm.Print_Area" localSheetId="53">'AT-25 '!$A$1:$F$46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AT27_Req_FG_CA_Pry!$A$1:$T$48</definedName>
    <definedName name="_xlnm.Print_Area" localSheetId="58">'AT27A_Req_FG_CA_U Pry '!$A$1:$T$48</definedName>
    <definedName name="_xlnm.Print_Area" localSheetId="59">'AT27B_Req_FG_CA_N CLP'!$A$1:$P$37</definedName>
    <definedName name="_xlnm.Print_Area" localSheetId="60">'AT27C_Req_FG_Drought -Pry '!$A$1:$P$48</definedName>
    <definedName name="_xlnm.Print_Area" localSheetId="61">'AT27D_Req_FG_Drought -UPry '!$A$1:$P$48</definedName>
    <definedName name="_xlnm.Print_Area" localSheetId="62">'AT27E_Req_FG_Covid Summ -Pry'!$A$1:$P$48</definedName>
    <definedName name="_xlnm.Print_Area" localSheetId="63">'AT27F_Req_FG_Covid-Summ-UPry'!$A$1:$P$48</definedName>
    <definedName name="_xlnm.Print_Area" localSheetId="65">'AT-28A_RqmtPlinthArea'!$A$1:$S$43</definedName>
    <definedName name="_xlnm.Print_Area" localSheetId="66">'AT-28B_Kitchen repair'!$A$1:$G$44</definedName>
    <definedName name="_xlnm.Print_Area" localSheetId="68">'AT29_A_Replacement KD'!$A$1:$V$45</definedName>
    <definedName name="_xlnm.Print_Area" localSheetId="67">'AT29_Replacement KD '!$A$1:$V$44</definedName>
    <definedName name="_xlnm.Print_Area" localSheetId="6">'AT-2B_DBT'!$A$1:$L$35</definedName>
    <definedName name="_xlnm.Print_Area" localSheetId="4">'AT-2-S1 BUDGET'!$A$1:$V$32</definedName>
    <definedName name="_xlnm.Print_Area" localSheetId="69">'AT-30_Coook-cum-Helper'!$A$1:$L$44</definedName>
    <definedName name="_xlnm.Print_Area" localSheetId="71">'AT32_Drought Pry Util'!$A$1:$L$35</definedName>
    <definedName name="_xlnm.Print_Area" localSheetId="72">'AT-32A Drought UPry Util'!$A$1:$L$35</definedName>
    <definedName name="_xlnm.Print_Area" localSheetId="8">'AT3A_cvrg(Insti)_PY'!$A$1:$N$50</definedName>
    <definedName name="_xlnm.Print_Area" localSheetId="9">'AT3B_cvrg(Insti)_UPY '!$A$1:$N$50</definedName>
    <definedName name="_xlnm.Print_Area" localSheetId="10">'AT3C_cvrg(Insti)_UPY '!$A$1:$N$50</definedName>
    <definedName name="_xlnm.Print_Area" localSheetId="25">'AT-8_Hon_CCH_Pry'!$A$1:$V$49</definedName>
    <definedName name="_xlnm.Print_Area" localSheetId="26">'AT-8A_Hon_CCH_UPry'!$A$1:$V$48</definedName>
    <definedName name="_xlnm.Print_Area" localSheetId="27">AT9_TA!$A$1:$I$45</definedName>
    <definedName name="_xlnm.Print_Area" localSheetId="1">Contents!$A$1:$C$69</definedName>
    <definedName name="_xlnm.Print_Area" localSheetId="11">'enrolment vs availed_PY'!$A$1:$Q$48</definedName>
    <definedName name="_xlnm.Print_Area" localSheetId="12">'enrolment vs availed_UPY'!$A$1:$Q$49</definedName>
    <definedName name="_xlnm.Print_Area" localSheetId="76">'Flexi Break Fast'!$A$2:$H$16</definedName>
    <definedName name="_xlnm.Print_Area" localSheetId="77">'Flexi Egg'!$A$2:$H$19</definedName>
    <definedName name="_xlnm.Print_Area" localSheetId="75">'Flexi Soya Milk'!$A$1:$H$18</definedName>
    <definedName name="_xlnm.Print_Area" localSheetId="39">'Mode of cooking'!$A$1:$H$43</definedName>
    <definedName name="_xlnm.Print_Area" localSheetId="2">Sheet1!$A$1:$J$24</definedName>
    <definedName name="_xlnm.Print_Area" localSheetId="54">'Sheet1 (2)'!$A$1:$J$24</definedName>
    <definedName name="_xlnm.Print_Area" localSheetId="78">Sheet6!$A$2:$N$16</definedName>
    <definedName name="_xlnm.Print_Area" localSheetId="14">T5_PLAN_vs_PRFM!$A$1:$J$46</definedName>
    <definedName name="_xlnm.Print_Area" localSheetId="15">'T5A_PLAN_vs_PRFM '!$A$1:$J$46</definedName>
    <definedName name="_xlnm.Print_Area" localSheetId="16">'T5B_PLAN_vs_PRFM  (2)'!$A$1:$J$46</definedName>
    <definedName name="_xlnm.Print_Area" localSheetId="17">'T5C_Drought_PLAN_vs_PRFM '!$A$1:$J$46</definedName>
    <definedName name="_xlnm.Print_Area" localSheetId="18">'T5D_Drought_PLAN_vs_PRFM  '!$A$1:$J$46</definedName>
    <definedName name="_xlnm.Print_Area" localSheetId="19">T6_FG_py_Utlsn!$A$1:$L$46</definedName>
    <definedName name="_xlnm.Print_Area" localSheetId="20">'T6A_FG_Upy_Utlsn '!$A$1:$L$47</definedName>
    <definedName name="_xlnm.Print_Area" localSheetId="21">T6B_Pay_FG_FCI_Pry!$A$1:$M$49</definedName>
    <definedName name="_xlnm.Print_Area" localSheetId="22">T6C_Coarse_Grain!$A$1:$L$48</definedName>
    <definedName name="_xlnm.Print_Area" localSheetId="23">T7_CC_PY_Utlsn!$A$1:$Q$48</definedName>
    <definedName name="_xlnm.Print_Area" localSheetId="24">'T7ACC_UPY_Utlsn '!$A$1:$Q$47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75" l="1"/>
  <c r="E37" i="175"/>
  <c r="F37" i="175" s="1"/>
  <c r="P37" i="175" s="1"/>
  <c r="E36" i="175"/>
  <c r="F36" i="175" s="1"/>
  <c r="P36" i="175" s="1"/>
  <c r="E35" i="175"/>
  <c r="F35" i="175" s="1"/>
  <c r="P35" i="175" s="1"/>
  <c r="F34" i="175"/>
  <c r="P34" i="175" s="1"/>
  <c r="E34" i="175"/>
  <c r="E33" i="175"/>
  <c r="F33" i="175" s="1"/>
  <c r="P33" i="175" s="1"/>
  <c r="F32" i="175"/>
  <c r="P32" i="175" s="1"/>
  <c r="E32" i="175"/>
  <c r="E31" i="175"/>
  <c r="F31" i="175" s="1"/>
  <c r="P31" i="175" s="1"/>
  <c r="F30" i="175"/>
  <c r="P30" i="175" s="1"/>
  <c r="E30" i="175"/>
  <c r="E29" i="175"/>
  <c r="F29" i="175" s="1"/>
  <c r="P29" i="175" s="1"/>
  <c r="F28" i="175"/>
  <c r="P28" i="175" s="1"/>
  <c r="E28" i="175"/>
  <c r="E27" i="175"/>
  <c r="F27" i="175" s="1"/>
  <c r="P27" i="175" s="1"/>
  <c r="E26" i="175"/>
  <c r="F26" i="175" s="1"/>
  <c r="P26" i="175" s="1"/>
  <c r="E25" i="175"/>
  <c r="F25" i="175" s="1"/>
  <c r="P25" i="175" s="1"/>
  <c r="F24" i="175"/>
  <c r="P24" i="175" s="1"/>
  <c r="E24" i="175"/>
  <c r="E23" i="175"/>
  <c r="F23" i="175" s="1"/>
  <c r="P23" i="175" s="1"/>
  <c r="E22" i="175"/>
  <c r="F22" i="175" s="1"/>
  <c r="P22" i="175" s="1"/>
  <c r="E21" i="175"/>
  <c r="F21" i="175" s="1"/>
  <c r="P21" i="175" s="1"/>
  <c r="F20" i="175"/>
  <c r="P20" i="175" s="1"/>
  <c r="E20" i="175"/>
  <c r="E19" i="175"/>
  <c r="F19" i="175" s="1"/>
  <c r="P19" i="175" s="1"/>
  <c r="E18" i="175"/>
  <c r="F18" i="175" s="1"/>
  <c r="P18" i="175" s="1"/>
  <c r="E17" i="175"/>
  <c r="F17" i="175" s="1"/>
  <c r="P17" i="175" s="1"/>
  <c r="F16" i="175"/>
  <c r="P16" i="175" s="1"/>
  <c r="E16" i="175"/>
  <c r="E15" i="175"/>
  <c r="F15" i="175" s="1"/>
  <c r="P15" i="175" s="1"/>
  <c r="E14" i="175"/>
  <c r="F14" i="175" s="1"/>
  <c r="P14" i="175" s="1"/>
  <c r="E13" i="175"/>
  <c r="F13" i="175" s="1"/>
  <c r="P13" i="175" s="1"/>
  <c r="F12" i="175"/>
  <c r="P12" i="175" s="1"/>
  <c r="E12" i="175"/>
  <c r="E11" i="175"/>
  <c r="E38" i="175" s="1"/>
  <c r="C38" i="174"/>
  <c r="E37" i="174"/>
  <c r="F37" i="174" s="1"/>
  <c r="P37" i="174" s="1"/>
  <c r="E36" i="174"/>
  <c r="F36" i="174" s="1"/>
  <c r="P36" i="174" s="1"/>
  <c r="F35" i="174"/>
  <c r="P35" i="174" s="1"/>
  <c r="E35" i="174"/>
  <c r="E34" i="174"/>
  <c r="F34" i="174" s="1"/>
  <c r="P34" i="174" s="1"/>
  <c r="E33" i="174"/>
  <c r="F33" i="174" s="1"/>
  <c r="P33" i="174" s="1"/>
  <c r="E32" i="174"/>
  <c r="F32" i="174" s="1"/>
  <c r="P32" i="174" s="1"/>
  <c r="F31" i="174"/>
  <c r="P31" i="174" s="1"/>
  <c r="E31" i="174"/>
  <c r="E30" i="174"/>
  <c r="F30" i="174" s="1"/>
  <c r="P30" i="174" s="1"/>
  <c r="E29" i="174"/>
  <c r="F29" i="174" s="1"/>
  <c r="P29" i="174" s="1"/>
  <c r="E28" i="174"/>
  <c r="F28" i="174" s="1"/>
  <c r="P28" i="174" s="1"/>
  <c r="F27" i="174"/>
  <c r="P27" i="174" s="1"/>
  <c r="E27" i="174"/>
  <c r="E26" i="174"/>
  <c r="F26" i="174" s="1"/>
  <c r="P26" i="174" s="1"/>
  <c r="E25" i="174"/>
  <c r="F25" i="174" s="1"/>
  <c r="P25" i="174" s="1"/>
  <c r="E24" i="174"/>
  <c r="F24" i="174" s="1"/>
  <c r="P24" i="174" s="1"/>
  <c r="F23" i="174"/>
  <c r="P23" i="174" s="1"/>
  <c r="E23" i="174"/>
  <c r="E22" i="174"/>
  <c r="F22" i="174" s="1"/>
  <c r="P22" i="174" s="1"/>
  <c r="E21" i="174"/>
  <c r="F21" i="174" s="1"/>
  <c r="P21" i="174" s="1"/>
  <c r="E20" i="174"/>
  <c r="F20" i="174" s="1"/>
  <c r="P20" i="174" s="1"/>
  <c r="F19" i="174"/>
  <c r="P19" i="174" s="1"/>
  <c r="E19" i="174"/>
  <c r="E18" i="174"/>
  <c r="F18" i="174" s="1"/>
  <c r="P18" i="174" s="1"/>
  <c r="E17" i="174"/>
  <c r="F17" i="174" s="1"/>
  <c r="P17" i="174" s="1"/>
  <c r="E16" i="174"/>
  <c r="F16" i="174" s="1"/>
  <c r="P16" i="174" s="1"/>
  <c r="F15" i="174"/>
  <c r="P15" i="174" s="1"/>
  <c r="E15" i="174"/>
  <c r="E14" i="174"/>
  <c r="F14" i="174" s="1"/>
  <c r="P14" i="174" s="1"/>
  <c r="E13" i="174"/>
  <c r="F13" i="174" s="1"/>
  <c r="P13" i="174" s="1"/>
  <c r="E12" i="174"/>
  <c r="F12" i="174" s="1"/>
  <c r="P12" i="174" s="1"/>
  <c r="F11" i="174"/>
  <c r="P11" i="174" s="1"/>
  <c r="E11" i="174"/>
  <c r="E38" i="174" s="1"/>
  <c r="F11" i="175" l="1"/>
  <c r="F38" i="174"/>
  <c r="P38" i="174" s="1"/>
  <c r="E10" i="169"/>
  <c r="E7" i="169"/>
  <c r="E5" i="169"/>
  <c r="E8" i="172"/>
  <c r="E6" i="169"/>
  <c r="E8" i="169"/>
  <c r="E9" i="169"/>
  <c r="F38" i="175" l="1"/>
  <c r="P38" i="175" s="1"/>
  <c r="P11" i="175"/>
  <c r="E36" i="142"/>
  <c r="F36" i="135" l="1"/>
  <c r="G36" i="135"/>
  <c r="D14" i="115"/>
  <c r="D15" i="115"/>
  <c r="D13" i="115"/>
  <c r="E17" i="14"/>
  <c r="E14" i="114"/>
  <c r="E15" i="114"/>
  <c r="E16" i="114"/>
  <c r="E17" i="114"/>
  <c r="E18" i="114"/>
  <c r="E19" i="114"/>
  <c r="E20" i="114"/>
  <c r="E21" i="114"/>
  <c r="E22" i="114"/>
  <c r="E23" i="114"/>
  <c r="E24" i="114"/>
  <c r="E25" i="114"/>
  <c r="E26" i="114"/>
  <c r="E27" i="114"/>
  <c r="E28" i="114"/>
  <c r="E29" i="114"/>
  <c r="E30" i="114"/>
  <c r="E31" i="114"/>
  <c r="E32" i="114"/>
  <c r="E33" i="114"/>
  <c r="E34" i="114"/>
  <c r="E35" i="114"/>
  <c r="E36" i="114"/>
  <c r="E37" i="114"/>
  <c r="E38" i="114"/>
  <c r="E39" i="114"/>
  <c r="E13" i="114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14" i="88"/>
  <c r="O39" i="162" l="1"/>
  <c r="N39" i="162"/>
  <c r="M39" i="162"/>
  <c r="L39" i="162"/>
  <c r="K39" i="162"/>
  <c r="J39" i="162"/>
  <c r="I39" i="162"/>
  <c r="H39" i="162"/>
  <c r="G39" i="162"/>
  <c r="F39" i="162"/>
  <c r="E39" i="162"/>
  <c r="D39" i="162"/>
  <c r="C39" i="162"/>
  <c r="P39" i="162"/>
  <c r="N14" i="173" l="1"/>
  <c r="N18" i="173" s="1"/>
  <c r="M14" i="173"/>
  <c r="M16" i="173" s="1"/>
  <c r="R23" i="173"/>
  <c r="S23" i="173" s="1"/>
  <c r="N15" i="173"/>
  <c r="H15" i="173"/>
  <c r="L14" i="173"/>
  <c r="L16" i="173" s="1"/>
  <c r="H14" i="173"/>
  <c r="H18" i="173" s="1"/>
  <c r="G14" i="173"/>
  <c r="G16" i="173" s="1"/>
  <c r="F14" i="173"/>
  <c r="F16" i="173" s="1"/>
  <c r="L25" i="173"/>
  <c r="K25" i="173"/>
  <c r="M25" i="173" s="1"/>
  <c r="M24" i="173"/>
  <c r="L24" i="173"/>
  <c r="K24" i="173"/>
  <c r="H16" i="173" l="1"/>
  <c r="N16" i="173"/>
  <c r="I11" i="108"/>
  <c r="J11" i="108"/>
  <c r="K11" i="108"/>
  <c r="L11" i="108"/>
  <c r="M11" i="108"/>
  <c r="H11" i="108"/>
  <c r="F11" i="108"/>
  <c r="E11" i="108"/>
  <c r="N14" i="114" l="1"/>
  <c r="O14" i="114" s="1"/>
  <c r="N15" i="114"/>
  <c r="O15" i="114" s="1"/>
  <c r="N16" i="114"/>
  <c r="O16" i="114" s="1"/>
  <c r="N17" i="114"/>
  <c r="O17" i="114" s="1"/>
  <c r="N18" i="114"/>
  <c r="O18" i="114" s="1"/>
  <c r="N19" i="114"/>
  <c r="O19" i="114"/>
  <c r="N20" i="114"/>
  <c r="O20" i="114" s="1"/>
  <c r="N21" i="114"/>
  <c r="O21" i="114" s="1"/>
  <c r="N22" i="114"/>
  <c r="O22" i="114" s="1"/>
  <c r="N23" i="114"/>
  <c r="O23" i="114" s="1"/>
  <c r="N24" i="114"/>
  <c r="O24" i="114" s="1"/>
  <c r="N25" i="114"/>
  <c r="O25" i="114" s="1"/>
  <c r="N26" i="114"/>
  <c r="O26" i="114" s="1"/>
  <c r="N27" i="114"/>
  <c r="O27" i="114" s="1"/>
  <c r="N28" i="114"/>
  <c r="O28" i="114" s="1"/>
  <c r="N29" i="114"/>
  <c r="O29" i="114" s="1"/>
  <c r="N30" i="114"/>
  <c r="O30" i="114" s="1"/>
  <c r="N31" i="114"/>
  <c r="O31" i="114"/>
  <c r="N32" i="114"/>
  <c r="O32" i="114" s="1"/>
  <c r="N33" i="114"/>
  <c r="O33" i="114" s="1"/>
  <c r="N34" i="114"/>
  <c r="O34" i="114" s="1"/>
  <c r="N35" i="114"/>
  <c r="O35" i="114" s="1"/>
  <c r="N36" i="114"/>
  <c r="O36" i="114" s="1"/>
  <c r="N37" i="114"/>
  <c r="O37" i="114" s="1"/>
  <c r="N38" i="114"/>
  <c r="O38" i="114" s="1"/>
  <c r="N39" i="114"/>
  <c r="O39" i="114" s="1"/>
  <c r="N13" i="114"/>
  <c r="N15" i="88"/>
  <c r="O15" i="88" s="1"/>
  <c r="N16" i="88"/>
  <c r="O16" i="88" s="1"/>
  <c r="N17" i="88"/>
  <c r="O17" i="88" s="1"/>
  <c r="N18" i="88"/>
  <c r="O18" i="88" s="1"/>
  <c r="N19" i="88"/>
  <c r="O19" i="88" s="1"/>
  <c r="N20" i="88"/>
  <c r="O20" i="88" s="1"/>
  <c r="N21" i="88"/>
  <c r="O21" i="88" s="1"/>
  <c r="N22" i="88"/>
  <c r="O22" i="88"/>
  <c r="N23" i="88"/>
  <c r="O23" i="88" s="1"/>
  <c r="N24" i="88"/>
  <c r="O24" i="88" s="1"/>
  <c r="N25" i="88"/>
  <c r="O25" i="88" s="1"/>
  <c r="N26" i="88"/>
  <c r="O26" i="88" s="1"/>
  <c r="N27" i="88"/>
  <c r="O27" i="88" s="1"/>
  <c r="N28" i="88"/>
  <c r="O28" i="88" s="1"/>
  <c r="N29" i="88"/>
  <c r="O29" i="88" s="1"/>
  <c r="N30" i="88"/>
  <c r="O30" i="88" s="1"/>
  <c r="N31" i="88"/>
  <c r="O31" i="88" s="1"/>
  <c r="N32" i="88"/>
  <c r="O32" i="88" s="1"/>
  <c r="N33" i="88"/>
  <c r="O33" i="88" s="1"/>
  <c r="N34" i="88"/>
  <c r="O34" i="88" s="1"/>
  <c r="N35" i="88"/>
  <c r="O35" i="88" s="1"/>
  <c r="N36" i="88"/>
  <c r="O36" i="88"/>
  <c r="N37" i="88"/>
  <c r="O37" i="88" s="1"/>
  <c r="N38" i="88"/>
  <c r="O38" i="88" s="1"/>
  <c r="N39" i="88"/>
  <c r="O39" i="88" s="1"/>
  <c r="N40" i="88"/>
  <c r="O40" i="88" s="1"/>
  <c r="N14" i="88"/>
  <c r="Q24" i="96" l="1"/>
  <c r="P24" i="96"/>
  <c r="O24" i="96"/>
  <c r="C9" i="172"/>
  <c r="C9" i="171"/>
  <c r="E24" i="169"/>
  <c r="E23" i="169"/>
  <c r="G13" i="16" l="1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12" i="16"/>
  <c r="D9" i="172" l="1"/>
  <c r="H8" i="172"/>
  <c r="F8" i="172" s="1"/>
  <c r="G8" i="172" s="1"/>
  <c r="E7" i="172"/>
  <c r="H7" i="172" s="1"/>
  <c r="F7" i="172" s="1"/>
  <c r="E6" i="172"/>
  <c r="D9" i="171"/>
  <c r="E8" i="171"/>
  <c r="H8" i="171" s="1"/>
  <c r="F8" i="171" s="1"/>
  <c r="G8" i="171" s="1"/>
  <c r="E7" i="171"/>
  <c r="H7" i="171" s="1"/>
  <c r="F7" i="171" s="1"/>
  <c r="E6" i="171"/>
  <c r="H6" i="171" s="1"/>
  <c r="C38" i="147"/>
  <c r="E9" i="172" l="1"/>
  <c r="F6" i="171"/>
  <c r="G6" i="171" s="1"/>
  <c r="G9" i="171" s="1"/>
  <c r="H9" i="171"/>
  <c r="F38" i="147"/>
  <c r="P38" i="147" s="1"/>
  <c r="E9" i="171"/>
  <c r="H6" i="172"/>
  <c r="H9" i="172" s="1"/>
  <c r="F6" i="172"/>
  <c r="G6" i="172" s="1"/>
  <c r="G7" i="172"/>
  <c r="G7" i="171"/>
  <c r="F9" i="171"/>
  <c r="E38" i="147"/>
  <c r="D11" i="169"/>
  <c r="H10" i="169"/>
  <c r="C11" i="169"/>
  <c r="H24" i="169"/>
  <c r="F24" i="169" s="1"/>
  <c r="G24" i="169" s="1"/>
  <c r="H23" i="169"/>
  <c r="H6" i="169"/>
  <c r="H7" i="169"/>
  <c r="F7" i="169" s="1"/>
  <c r="G7" i="169" s="1"/>
  <c r="H8" i="169"/>
  <c r="H9" i="169"/>
  <c r="F9" i="169" s="1"/>
  <c r="G9" i="169" s="1"/>
  <c r="H5" i="169"/>
  <c r="G9" i="172" l="1"/>
  <c r="F9" i="172"/>
  <c r="F8" i="169"/>
  <c r="G8" i="169" s="1"/>
  <c r="F5" i="169"/>
  <c r="G5" i="169" s="1"/>
  <c r="H11" i="169"/>
  <c r="F6" i="169"/>
  <c r="G6" i="169" s="1"/>
  <c r="F10" i="169"/>
  <c r="G10" i="169" s="1"/>
  <c r="F23" i="169"/>
  <c r="G23" i="169" s="1"/>
  <c r="E11" i="169"/>
  <c r="F11" i="169" l="1"/>
  <c r="G11" i="169"/>
  <c r="C38" i="152"/>
  <c r="D38" i="152" l="1"/>
  <c r="E17" i="167" l="1"/>
  <c r="E18" i="166"/>
  <c r="E7" i="167"/>
  <c r="E5" i="166"/>
  <c r="E13" i="167"/>
  <c r="E11" i="167"/>
  <c r="E10" i="167"/>
  <c r="E9" i="167"/>
  <c r="E14" i="166"/>
  <c r="E13" i="166"/>
  <c r="E11" i="166"/>
  <c r="E8" i="166"/>
  <c r="E7" i="166"/>
  <c r="E18" i="167" l="1"/>
  <c r="E19" i="166"/>
  <c r="L39" i="165" l="1"/>
  <c r="K12" i="165"/>
  <c r="K39" i="165" s="1"/>
  <c r="G48" i="56" l="1"/>
  <c r="D48" i="56"/>
  <c r="U16" i="98" l="1"/>
  <c r="V16" i="98"/>
  <c r="W16" i="98"/>
  <c r="U17" i="98"/>
  <c r="V17" i="98"/>
  <c r="W17" i="98"/>
  <c r="U18" i="98"/>
  <c r="V18" i="98"/>
  <c r="W18" i="98"/>
  <c r="U19" i="98"/>
  <c r="V19" i="98"/>
  <c r="W19" i="98"/>
  <c r="W25" i="98" s="1"/>
  <c r="W15" i="98"/>
  <c r="V15" i="98"/>
  <c r="U15" i="98"/>
  <c r="R25" i="98"/>
  <c r="S25" i="98"/>
  <c r="T25" i="98"/>
  <c r="V25" i="98"/>
  <c r="I25" i="98"/>
  <c r="J25" i="98"/>
  <c r="K25" i="98"/>
  <c r="L16" i="98"/>
  <c r="M16" i="98"/>
  <c r="N16" i="98"/>
  <c r="O16" i="98"/>
  <c r="P16" i="98"/>
  <c r="Q16" i="98"/>
  <c r="L17" i="98"/>
  <c r="M17" i="98"/>
  <c r="N17" i="98"/>
  <c r="O17" i="98"/>
  <c r="P17" i="98"/>
  <c r="Q17" i="98"/>
  <c r="L18" i="98"/>
  <c r="M18" i="98"/>
  <c r="N18" i="98"/>
  <c r="O18" i="98"/>
  <c r="P18" i="98"/>
  <c r="Q18" i="98"/>
  <c r="L19" i="98"/>
  <c r="M19" i="98"/>
  <c r="N19" i="98"/>
  <c r="O19" i="98"/>
  <c r="P19" i="98"/>
  <c r="Q19" i="98"/>
  <c r="C16" i="98"/>
  <c r="D16" i="98"/>
  <c r="E16" i="98"/>
  <c r="F16" i="98"/>
  <c r="G16" i="98"/>
  <c r="H16" i="98"/>
  <c r="C17" i="98"/>
  <c r="D17" i="98"/>
  <c r="E17" i="98"/>
  <c r="F17" i="98"/>
  <c r="G17" i="98"/>
  <c r="H17" i="98"/>
  <c r="C18" i="98"/>
  <c r="D18" i="98"/>
  <c r="E18" i="98"/>
  <c r="F18" i="98"/>
  <c r="G18" i="98"/>
  <c r="H18" i="98"/>
  <c r="C19" i="98"/>
  <c r="D19" i="98"/>
  <c r="E19" i="98"/>
  <c r="F19" i="98"/>
  <c r="G19" i="98"/>
  <c r="H19" i="98"/>
  <c r="Q15" i="98"/>
  <c r="Q25" i="98" s="1"/>
  <c r="P15" i="98"/>
  <c r="P25" i="98" s="1"/>
  <c r="O15" i="98"/>
  <c r="O25" i="98" s="1"/>
  <c r="N15" i="98"/>
  <c r="N25" i="98" s="1"/>
  <c r="M15" i="98"/>
  <c r="M25" i="98" s="1"/>
  <c r="L15" i="98"/>
  <c r="L25" i="98" s="1"/>
  <c r="H15" i="98"/>
  <c r="H25" i="98" s="1"/>
  <c r="G15" i="98"/>
  <c r="G25" i="98" s="1"/>
  <c r="F15" i="98"/>
  <c r="F25" i="98" s="1"/>
  <c r="E15" i="98"/>
  <c r="E25" i="98" s="1"/>
  <c r="D15" i="98"/>
  <c r="D25" i="98" s="1"/>
  <c r="C15" i="98"/>
  <c r="C25" i="98" s="1"/>
  <c r="U25" i="98" l="1"/>
  <c r="S13" i="153"/>
  <c r="S14" i="153"/>
  <c r="S15" i="153"/>
  <c r="S16" i="153"/>
  <c r="S17" i="153"/>
  <c r="S18" i="153"/>
  <c r="S19" i="153"/>
  <c r="S20" i="153"/>
  <c r="S21" i="153"/>
  <c r="S22" i="153"/>
  <c r="S23" i="153"/>
  <c r="S24" i="153"/>
  <c r="S25" i="153"/>
  <c r="S26" i="153"/>
  <c r="S27" i="153"/>
  <c r="S28" i="153"/>
  <c r="S29" i="153"/>
  <c r="S30" i="153"/>
  <c r="S31" i="153"/>
  <c r="S32" i="153"/>
  <c r="S33" i="153"/>
  <c r="S34" i="153"/>
  <c r="S35" i="153"/>
  <c r="S36" i="153"/>
  <c r="S37" i="153"/>
  <c r="S38" i="153"/>
  <c r="S12" i="153"/>
  <c r="S39" i="153" s="1"/>
  <c r="O39" i="153"/>
  <c r="K39" i="153"/>
  <c r="C39" i="153"/>
  <c r="G39" i="153"/>
  <c r="P13" i="153"/>
  <c r="Q13" i="153"/>
  <c r="R13" i="153" s="1"/>
  <c r="P14" i="153"/>
  <c r="R14" i="153" s="1"/>
  <c r="Q14" i="153"/>
  <c r="P15" i="153"/>
  <c r="R15" i="153" s="1"/>
  <c r="Q15" i="153"/>
  <c r="P16" i="153"/>
  <c r="R16" i="153" s="1"/>
  <c r="Q16" i="153"/>
  <c r="P17" i="153"/>
  <c r="Q17" i="153"/>
  <c r="R17" i="153" s="1"/>
  <c r="P18" i="153"/>
  <c r="R18" i="153" s="1"/>
  <c r="Q18" i="153"/>
  <c r="P19" i="153"/>
  <c r="R19" i="153" s="1"/>
  <c r="Q19" i="153"/>
  <c r="P20" i="153"/>
  <c r="Q20" i="153"/>
  <c r="R20" i="153"/>
  <c r="P21" i="153"/>
  <c r="Q21" i="153"/>
  <c r="R21" i="153" s="1"/>
  <c r="P22" i="153"/>
  <c r="R22" i="153" s="1"/>
  <c r="Q22" i="153"/>
  <c r="P23" i="153"/>
  <c r="R23" i="153" s="1"/>
  <c r="Q23" i="153"/>
  <c r="P24" i="153"/>
  <c r="Q24" i="153"/>
  <c r="R24" i="153"/>
  <c r="P25" i="153"/>
  <c r="R25" i="153" s="1"/>
  <c r="Q25" i="153"/>
  <c r="P26" i="153"/>
  <c r="R26" i="153" s="1"/>
  <c r="Q26" i="153"/>
  <c r="P27" i="153"/>
  <c r="R27" i="153" s="1"/>
  <c r="Q27" i="153"/>
  <c r="P28" i="153"/>
  <c r="Q28" i="153"/>
  <c r="R28" i="153"/>
  <c r="P29" i="153"/>
  <c r="R29" i="153" s="1"/>
  <c r="Q29" i="153"/>
  <c r="P30" i="153"/>
  <c r="R30" i="153" s="1"/>
  <c r="Q30" i="153"/>
  <c r="P31" i="153"/>
  <c r="R31" i="153" s="1"/>
  <c r="Q31" i="153"/>
  <c r="P32" i="153"/>
  <c r="Q32" i="153"/>
  <c r="R32" i="153"/>
  <c r="P33" i="153"/>
  <c r="Q33" i="153"/>
  <c r="R33" i="153" s="1"/>
  <c r="P34" i="153"/>
  <c r="R34" i="153" s="1"/>
  <c r="Q34" i="153"/>
  <c r="P35" i="153"/>
  <c r="R35" i="153" s="1"/>
  <c r="Q35" i="153"/>
  <c r="P36" i="153"/>
  <c r="Q36" i="153"/>
  <c r="R36" i="153"/>
  <c r="P37" i="153"/>
  <c r="R37" i="153" s="1"/>
  <c r="Q37" i="153"/>
  <c r="P38" i="153"/>
  <c r="R38" i="153" s="1"/>
  <c r="Q38" i="153"/>
  <c r="L13" i="153"/>
  <c r="M13" i="153"/>
  <c r="N13" i="153"/>
  <c r="L14" i="153"/>
  <c r="M14" i="153"/>
  <c r="L15" i="153"/>
  <c r="M15" i="153"/>
  <c r="L16" i="153"/>
  <c r="N16" i="153" s="1"/>
  <c r="M16" i="153"/>
  <c r="L17" i="153"/>
  <c r="N17" i="153" s="1"/>
  <c r="M17" i="153"/>
  <c r="L18" i="153"/>
  <c r="M18" i="153"/>
  <c r="L19" i="153"/>
  <c r="N19" i="153" s="1"/>
  <c r="M19" i="153"/>
  <c r="L20" i="153"/>
  <c r="M20" i="153"/>
  <c r="N20" i="153"/>
  <c r="L21" i="153"/>
  <c r="M21" i="153"/>
  <c r="N21" i="153" s="1"/>
  <c r="L22" i="153"/>
  <c r="N22" i="153" s="1"/>
  <c r="M22" i="153"/>
  <c r="L23" i="153"/>
  <c r="N23" i="153" s="1"/>
  <c r="M23" i="153"/>
  <c r="L24" i="153"/>
  <c r="N24" i="153" s="1"/>
  <c r="M24" i="153"/>
  <c r="L25" i="153"/>
  <c r="N25" i="153" s="1"/>
  <c r="M25" i="153"/>
  <c r="L26" i="153"/>
  <c r="N26" i="153" s="1"/>
  <c r="M26" i="153"/>
  <c r="L27" i="153"/>
  <c r="N27" i="153" s="1"/>
  <c r="M27" i="153"/>
  <c r="L28" i="153"/>
  <c r="M28" i="153"/>
  <c r="N28" i="153"/>
  <c r="L29" i="153"/>
  <c r="M29" i="153"/>
  <c r="N29" i="153" s="1"/>
  <c r="L30" i="153"/>
  <c r="N30" i="153" s="1"/>
  <c r="M30" i="153"/>
  <c r="L31" i="153"/>
  <c r="N31" i="153" s="1"/>
  <c r="M31" i="153"/>
  <c r="L32" i="153"/>
  <c r="N32" i="153" s="1"/>
  <c r="M32" i="153"/>
  <c r="L33" i="153"/>
  <c r="N33" i="153" s="1"/>
  <c r="M33" i="153"/>
  <c r="L34" i="153"/>
  <c r="N34" i="153" s="1"/>
  <c r="M34" i="153"/>
  <c r="L35" i="153"/>
  <c r="N35" i="153" s="1"/>
  <c r="M35" i="153"/>
  <c r="L36" i="153"/>
  <c r="M36" i="153"/>
  <c r="N36" i="153"/>
  <c r="L37" i="153"/>
  <c r="M37" i="153"/>
  <c r="N37" i="153" s="1"/>
  <c r="L38" i="153"/>
  <c r="N38" i="153" s="1"/>
  <c r="M38" i="153"/>
  <c r="H13" i="153"/>
  <c r="J13" i="153" s="1"/>
  <c r="I13" i="153"/>
  <c r="H14" i="153"/>
  <c r="J14" i="153" s="1"/>
  <c r="I14" i="153"/>
  <c r="H15" i="153"/>
  <c r="I15" i="153"/>
  <c r="H16" i="153"/>
  <c r="J16" i="153" s="1"/>
  <c r="I16" i="153"/>
  <c r="H17" i="153"/>
  <c r="I17" i="153"/>
  <c r="H18" i="153"/>
  <c r="I18" i="153"/>
  <c r="H19" i="153"/>
  <c r="I19" i="153"/>
  <c r="J19" i="153" s="1"/>
  <c r="H20" i="153"/>
  <c r="I20" i="153"/>
  <c r="J20" i="153" s="1"/>
  <c r="H21" i="153"/>
  <c r="J21" i="153" s="1"/>
  <c r="I21" i="153"/>
  <c r="H22" i="153"/>
  <c r="J22" i="153" s="1"/>
  <c r="I22" i="153"/>
  <c r="H23" i="153"/>
  <c r="I23" i="153"/>
  <c r="H24" i="153"/>
  <c r="I24" i="153"/>
  <c r="J24" i="153"/>
  <c r="H25" i="153"/>
  <c r="I25" i="153"/>
  <c r="H26" i="153"/>
  <c r="I26" i="153"/>
  <c r="H27" i="153"/>
  <c r="I27" i="153"/>
  <c r="J27" i="153" s="1"/>
  <c r="H28" i="153"/>
  <c r="J28" i="153" s="1"/>
  <c r="I28" i="153"/>
  <c r="H29" i="153"/>
  <c r="J29" i="153" s="1"/>
  <c r="I29" i="153"/>
  <c r="H30" i="153"/>
  <c r="J30" i="153" s="1"/>
  <c r="I30" i="153"/>
  <c r="H31" i="153"/>
  <c r="I31" i="153"/>
  <c r="H32" i="153"/>
  <c r="J32" i="153" s="1"/>
  <c r="I32" i="153"/>
  <c r="H33" i="153"/>
  <c r="I33" i="153"/>
  <c r="H34" i="153"/>
  <c r="I34" i="153"/>
  <c r="H35" i="153"/>
  <c r="I35" i="153"/>
  <c r="J35" i="153" s="1"/>
  <c r="H36" i="153"/>
  <c r="I36" i="153"/>
  <c r="J36" i="153"/>
  <c r="H37" i="153"/>
  <c r="J37" i="153" s="1"/>
  <c r="I37" i="153"/>
  <c r="H38" i="153"/>
  <c r="I38" i="153"/>
  <c r="D13" i="153"/>
  <c r="T13" i="153" s="1"/>
  <c r="V13" i="153" s="1"/>
  <c r="E13" i="153"/>
  <c r="U13" i="153" s="1"/>
  <c r="D14" i="153"/>
  <c r="E14" i="153"/>
  <c r="U14" i="153" s="1"/>
  <c r="D15" i="153"/>
  <c r="T15" i="153" s="1"/>
  <c r="V15" i="153" s="1"/>
  <c r="E15" i="153"/>
  <c r="U15" i="153" s="1"/>
  <c r="D16" i="153"/>
  <c r="T16" i="153" s="1"/>
  <c r="E16" i="153"/>
  <c r="U16" i="153" s="1"/>
  <c r="D17" i="153"/>
  <c r="T17" i="153" s="1"/>
  <c r="V17" i="153" s="1"/>
  <c r="E17" i="153"/>
  <c r="U17" i="153" s="1"/>
  <c r="F17" i="153"/>
  <c r="D18" i="153"/>
  <c r="F18" i="153" s="1"/>
  <c r="E18" i="153"/>
  <c r="U18" i="153" s="1"/>
  <c r="D19" i="153"/>
  <c r="E19" i="153"/>
  <c r="U19" i="153" s="1"/>
  <c r="D20" i="153"/>
  <c r="T20" i="153" s="1"/>
  <c r="E20" i="153"/>
  <c r="U20" i="153" s="1"/>
  <c r="F20" i="153"/>
  <c r="D21" i="153"/>
  <c r="T21" i="153" s="1"/>
  <c r="E21" i="153"/>
  <c r="U21" i="153" s="1"/>
  <c r="D22" i="153"/>
  <c r="F22" i="153" s="1"/>
  <c r="E22" i="153"/>
  <c r="U22" i="153" s="1"/>
  <c r="D23" i="153"/>
  <c r="F23" i="153" s="1"/>
  <c r="E23" i="153"/>
  <c r="U23" i="153" s="1"/>
  <c r="D24" i="153"/>
  <c r="T24" i="153" s="1"/>
  <c r="V24" i="153" s="1"/>
  <c r="E24" i="153"/>
  <c r="U24" i="153" s="1"/>
  <c r="D25" i="153"/>
  <c r="T25" i="153" s="1"/>
  <c r="E25" i="153"/>
  <c r="U25" i="153" s="1"/>
  <c r="D26" i="153"/>
  <c r="F26" i="153" s="1"/>
  <c r="E26" i="153"/>
  <c r="U26" i="153" s="1"/>
  <c r="D27" i="153"/>
  <c r="F27" i="153" s="1"/>
  <c r="E27" i="153"/>
  <c r="U27" i="153" s="1"/>
  <c r="D28" i="153"/>
  <c r="T28" i="153" s="1"/>
  <c r="V28" i="153" s="1"/>
  <c r="E28" i="153"/>
  <c r="U28" i="153" s="1"/>
  <c r="F28" i="153"/>
  <c r="D29" i="153"/>
  <c r="T29" i="153" s="1"/>
  <c r="E29" i="153"/>
  <c r="U29" i="153" s="1"/>
  <c r="D30" i="153"/>
  <c r="F30" i="153" s="1"/>
  <c r="E30" i="153"/>
  <c r="U30" i="153" s="1"/>
  <c r="D31" i="153"/>
  <c r="F31" i="153" s="1"/>
  <c r="E31" i="153"/>
  <c r="U31" i="153" s="1"/>
  <c r="D32" i="153"/>
  <c r="T32" i="153" s="1"/>
  <c r="E32" i="153"/>
  <c r="U32" i="153" s="1"/>
  <c r="D33" i="153"/>
  <c r="T33" i="153" s="1"/>
  <c r="E33" i="153"/>
  <c r="U33" i="153" s="1"/>
  <c r="D34" i="153"/>
  <c r="F34" i="153" s="1"/>
  <c r="E34" i="153"/>
  <c r="U34" i="153" s="1"/>
  <c r="D35" i="153"/>
  <c r="F35" i="153" s="1"/>
  <c r="E35" i="153"/>
  <c r="U35" i="153" s="1"/>
  <c r="D36" i="153"/>
  <c r="T36" i="153" s="1"/>
  <c r="E36" i="153"/>
  <c r="U36" i="153" s="1"/>
  <c r="F36" i="153"/>
  <c r="D37" i="153"/>
  <c r="T37" i="153" s="1"/>
  <c r="V37" i="153" s="1"/>
  <c r="E37" i="153"/>
  <c r="U37" i="153" s="1"/>
  <c r="D38" i="153"/>
  <c r="F38" i="153" s="1"/>
  <c r="E38" i="153"/>
  <c r="U38" i="153" s="1"/>
  <c r="Q12" i="153"/>
  <c r="Q39" i="153" s="1"/>
  <c r="P12" i="153"/>
  <c r="P39" i="153" s="1"/>
  <c r="R12" i="153"/>
  <c r="R39" i="153" s="1"/>
  <c r="M12" i="153"/>
  <c r="M39" i="153" s="1"/>
  <c r="L12" i="153"/>
  <c r="N12" i="153" s="1"/>
  <c r="I12" i="153"/>
  <c r="I39" i="153" s="1"/>
  <c r="H12" i="153"/>
  <c r="H39" i="153" s="1"/>
  <c r="E12" i="153"/>
  <c r="E39" i="153" s="1"/>
  <c r="D12" i="153"/>
  <c r="T12" i="153" s="1"/>
  <c r="C39" i="164"/>
  <c r="L43" i="163"/>
  <c r="K43" i="163"/>
  <c r="J43" i="163"/>
  <c r="I43" i="163"/>
  <c r="H43" i="163"/>
  <c r="G43" i="163"/>
  <c r="F43" i="163"/>
  <c r="E43" i="163"/>
  <c r="D43" i="163"/>
  <c r="V33" i="153" l="1"/>
  <c r="V29" i="153"/>
  <c r="V20" i="153"/>
  <c r="V25" i="153"/>
  <c r="V21" i="153"/>
  <c r="V16" i="153"/>
  <c r="V36" i="153"/>
  <c r="V32" i="153"/>
  <c r="F19" i="153"/>
  <c r="F14" i="153"/>
  <c r="J33" i="153"/>
  <c r="J31" i="153"/>
  <c r="J26" i="153"/>
  <c r="J17" i="153"/>
  <c r="J15" i="153"/>
  <c r="U12" i="153"/>
  <c r="U39" i="153" s="1"/>
  <c r="F37" i="153"/>
  <c r="F29" i="153"/>
  <c r="F21" i="153"/>
  <c r="F13" i="153"/>
  <c r="J38" i="153"/>
  <c r="N18" i="153"/>
  <c r="N15" i="153"/>
  <c r="L39" i="153"/>
  <c r="T34" i="153"/>
  <c r="V34" i="153" s="1"/>
  <c r="T31" i="153"/>
  <c r="V31" i="153" s="1"/>
  <c r="T26" i="153"/>
  <c r="V26" i="153" s="1"/>
  <c r="T23" i="153"/>
  <c r="V23" i="153" s="1"/>
  <c r="T18" i="153"/>
  <c r="V18" i="153" s="1"/>
  <c r="F32" i="153"/>
  <c r="F24" i="153"/>
  <c r="F16" i="153"/>
  <c r="F15" i="153"/>
  <c r="J34" i="153"/>
  <c r="J25" i="153"/>
  <c r="J23" i="153"/>
  <c r="J18" i="153"/>
  <c r="D39" i="153"/>
  <c r="F12" i="153"/>
  <c r="F33" i="153"/>
  <c r="F25" i="153"/>
  <c r="N14" i="153"/>
  <c r="N39" i="153" s="1"/>
  <c r="T38" i="153"/>
  <c r="V38" i="153" s="1"/>
  <c r="T35" i="153"/>
  <c r="V35" i="153" s="1"/>
  <c r="T30" i="153"/>
  <c r="V30" i="153" s="1"/>
  <c r="T27" i="153"/>
  <c r="V27" i="153" s="1"/>
  <c r="T22" i="153"/>
  <c r="V22" i="153" s="1"/>
  <c r="T19" i="153"/>
  <c r="V19" i="153" s="1"/>
  <c r="T14" i="153"/>
  <c r="V14" i="153" s="1"/>
  <c r="J12" i="153"/>
  <c r="J39" i="153" s="1"/>
  <c r="E38" i="65"/>
  <c r="F38" i="65"/>
  <c r="G38" i="65"/>
  <c r="H38" i="65"/>
  <c r="I38" i="65"/>
  <c r="J38" i="65"/>
  <c r="C38" i="65"/>
  <c r="D37" i="65"/>
  <c r="K37" i="65" s="1"/>
  <c r="D36" i="65"/>
  <c r="K36" i="65" s="1"/>
  <c r="D35" i="65"/>
  <c r="K35" i="65" s="1"/>
  <c r="D34" i="65"/>
  <c r="K34" i="65" s="1"/>
  <c r="D33" i="65"/>
  <c r="K33" i="65" s="1"/>
  <c r="D32" i="65"/>
  <c r="K32" i="65" s="1"/>
  <c r="D31" i="65"/>
  <c r="K31" i="65" s="1"/>
  <c r="D30" i="65"/>
  <c r="K30" i="65" s="1"/>
  <c r="D29" i="65"/>
  <c r="K29" i="65" s="1"/>
  <c r="D28" i="65"/>
  <c r="K28" i="65" s="1"/>
  <c r="D27" i="65"/>
  <c r="K27" i="65" s="1"/>
  <c r="D26" i="65"/>
  <c r="K26" i="65" s="1"/>
  <c r="D25" i="65"/>
  <c r="K25" i="65" s="1"/>
  <c r="D24" i="65"/>
  <c r="K24" i="65" s="1"/>
  <c r="D23" i="65"/>
  <c r="K23" i="65" s="1"/>
  <c r="D22" i="65"/>
  <c r="K22" i="65" s="1"/>
  <c r="D21" i="65"/>
  <c r="K21" i="65" s="1"/>
  <c r="D20" i="65"/>
  <c r="K20" i="65" s="1"/>
  <c r="D19" i="65"/>
  <c r="K19" i="65" s="1"/>
  <c r="D18" i="65"/>
  <c r="K18" i="65" s="1"/>
  <c r="D17" i="65"/>
  <c r="K17" i="65" s="1"/>
  <c r="D16" i="65"/>
  <c r="K16" i="65" s="1"/>
  <c r="D15" i="65"/>
  <c r="K15" i="65" s="1"/>
  <c r="D14" i="65"/>
  <c r="K14" i="65" s="1"/>
  <c r="D13" i="65"/>
  <c r="K13" i="65" s="1"/>
  <c r="D12" i="65"/>
  <c r="K12" i="65" s="1"/>
  <c r="D11" i="65"/>
  <c r="K11" i="65" s="1"/>
  <c r="F37" i="152"/>
  <c r="E37" i="152"/>
  <c r="F36" i="152"/>
  <c r="E36" i="152"/>
  <c r="F35" i="152"/>
  <c r="E35" i="152"/>
  <c r="F34" i="152"/>
  <c r="E34" i="152"/>
  <c r="F33" i="152"/>
  <c r="E33" i="152"/>
  <c r="F32" i="152"/>
  <c r="E32" i="152"/>
  <c r="F31" i="152"/>
  <c r="E31" i="152"/>
  <c r="F30" i="152"/>
  <c r="E30" i="152"/>
  <c r="F29" i="152"/>
  <c r="E29" i="152"/>
  <c r="F28" i="152"/>
  <c r="E28" i="152"/>
  <c r="F27" i="152"/>
  <c r="E27" i="152"/>
  <c r="F26" i="152"/>
  <c r="E26" i="152"/>
  <c r="F25" i="152"/>
  <c r="E25" i="152"/>
  <c r="F24" i="152"/>
  <c r="E24" i="152"/>
  <c r="F23" i="152"/>
  <c r="E23" i="152"/>
  <c r="F22" i="152"/>
  <c r="E22" i="152"/>
  <c r="F21" i="152"/>
  <c r="E21" i="152"/>
  <c r="F20" i="152"/>
  <c r="E20" i="152"/>
  <c r="F19" i="152"/>
  <c r="E19" i="152"/>
  <c r="F18" i="152"/>
  <c r="E18" i="152"/>
  <c r="F17" i="152"/>
  <c r="E17" i="152"/>
  <c r="F16" i="152"/>
  <c r="E16" i="152"/>
  <c r="F15" i="152"/>
  <c r="E15" i="152"/>
  <c r="F14" i="152"/>
  <c r="E14" i="152"/>
  <c r="F13" i="152"/>
  <c r="E13" i="152"/>
  <c r="F12" i="152"/>
  <c r="G12" i="152" s="1"/>
  <c r="E12" i="152"/>
  <c r="F11" i="152"/>
  <c r="E11" i="152"/>
  <c r="V12" i="153" l="1"/>
  <c r="V39" i="153" s="1"/>
  <c r="G16" i="152"/>
  <c r="G18" i="152"/>
  <c r="G20" i="152"/>
  <c r="G24" i="152"/>
  <c r="G26" i="152"/>
  <c r="G28" i="152"/>
  <c r="G32" i="152"/>
  <c r="G34" i="152"/>
  <c r="G36" i="152"/>
  <c r="F39" i="153"/>
  <c r="G17" i="152"/>
  <c r="G19" i="152"/>
  <c r="G25" i="152"/>
  <c r="T39" i="153"/>
  <c r="G27" i="152"/>
  <c r="G11" i="152"/>
  <c r="E38" i="152"/>
  <c r="F38" i="152"/>
  <c r="G33" i="152"/>
  <c r="G35" i="152"/>
  <c r="G13" i="152"/>
  <c r="G15" i="152"/>
  <c r="G22" i="152"/>
  <c r="G29" i="152"/>
  <c r="G31" i="152"/>
  <c r="G14" i="152"/>
  <c r="G21" i="152"/>
  <c r="G23" i="152"/>
  <c r="G30" i="152"/>
  <c r="G37" i="152"/>
  <c r="K38" i="65"/>
  <c r="D38" i="65"/>
  <c r="F38" i="144"/>
  <c r="E38" i="144"/>
  <c r="D38" i="144"/>
  <c r="C38" i="144"/>
  <c r="G37" i="144"/>
  <c r="I37" i="144" s="1"/>
  <c r="J37" i="144" s="1"/>
  <c r="G36" i="144"/>
  <c r="I36" i="144" s="1"/>
  <c r="J36" i="144" s="1"/>
  <c r="G35" i="144"/>
  <c r="I35" i="144" s="1"/>
  <c r="G34" i="144"/>
  <c r="I34" i="144" s="1"/>
  <c r="G33" i="144"/>
  <c r="I33" i="144" s="1"/>
  <c r="J33" i="144" s="1"/>
  <c r="G32" i="144"/>
  <c r="I32" i="144" s="1"/>
  <c r="J32" i="144" s="1"/>
  <c r="G31" i="144"/>
  <c r="I31" i="144" s="1"/>
  <c r="G30" i="144"/>
  <c r="I30" i="144" s="1"/>
  <c r="G29" i="144"/>
  <c r="I29" i="144" s="1"/>
  <c r="J29" i="144" s="1"/>
  <c r="G28" i="144"/>
  <c r="I28" i="144" s="1"/>
  <c r="J28" i="144" s="1"/>
  <c r="G27" i="144"/>
  <c r="I27" i="144" s="1"/>
  <c r="G26" i="144"/>
  <c r="I26" i="144" s="1"/>
  <c r="G25" i="144"/>
  <c r="I25" i="144" s="1"/>
  <c r="J25" i="144" s="1"/>
  <c r="G24" i="144"/>
  <c r="I24" i="144" s="1"/>
  <c r="J24" i="144" s="1"/>
  <c r="G23" i="144"/>
  <c r="I23" i="144" s="1"/>
  <c r="G22" i="144"/>
  <c r="I22" i="144" s="1"/>
  <c r="G21" i="144"/>
  <c r="I21" i="144" s="1"/>
  <c r="J21" i="144" s="1"/>
  <c r="G20" i="144"/>
  <c r="I20" i="144" s="1"/>
  <c r="J20" i="144" s="1"/>
  <c r="G19" i="144"/>
  <c r="I19" i="144" s="1"/>
  <c r="G18" i="144"/>
  <c r="I18" i="144" s="1"/>
  <c r="G17" i="144"/>
  <c r="I17" i="144" s="1"/>
  <c r="J17" i="144" s="1"/>
  <c r="G16" i="144"/>
  <c r="I16" i="144" s="1"/>
  <c r="J16" i="144" s="1"/>
  <c r="G15" i="144"/>
  <c r="I15" i="144" s="1"/>
  <c r="G14" i="144"/>
  <c r="I14" i="144" s="1"/>
  <c r="G13" i="144"/>
  <c r="I13" i="144" s="1"/>
  <c r="J13" i="144" s="1"/>
  <c r="G12" i="144"/>
  <c r="I12" i="144" s="1"/>
  <c r="J12" i="144" s="1"/>
  <c r="G11" i="144"/>
  <c r="G38" i="144" s="1"/>
  <c r="F38" i="29"/>
  <c r="E38" i="29"/>
  <c r="D38" i="29"/>
  <c r="C38" i="29"/>
  <c r="G37" i="29"/>
  <c r="I37" i="29" s="1"/>
  <c r="J37" i="29" s="1"/>
  <c r="T37" i="29" s="1"/>
  <c r="G36" i="29"/>
  <c r="I36" i="29" s="1"/>
  <c r="J36" i="29" s="1"/>
  <c r="T36" i="29" s="1"/>
  <c r="G35" i="29"/>
  <c r="I35" i="29" s="1"/>
  <c r="J35" i="29" s="1"/>
  <c r="T35" i="29" s="1"/>
  <c r="G34" i="29"/>
  <c r="I34" i="29" s="1"/>
  <c r="J34" i="29" s="1"/>
  <c r="T34" i="29" s="1"/>
  <c r="G33" i="29"/>
  <c r="I33" i="29" s="1"/>
  <c r="J33" i="29" s="1"/>
  <c r="T33" i="29" s="1"/>
  <c r="G32" i="29"/>
  <c r="I32" i="29" s="1"/>
  <c r="J32" i="29" s="1"/>
  <c r="T32" i="29" s="1"/>
  <c r="G31" i="29"/>
  <c r="I31" i="29" s="1"/>
  <c r="J31" i="29" s="1"/>
  <c r="T31" i="29" s="1"/>
  <c r="G30" i="29"/>
  <c r="I30" i="29" s="1"/>
  <c r="J30" i="29" s="1"/>
  <c r="T30" i="29" s="1"/>
  <c r="G29" i="29"/>
  <c r="I29" i="29" s="1"/>
  <c r="J29" i="29" s="1"/>
  <c r="T29" i="29" s="1"/>
  <c r="G28" i="29"/>
  <c r="I28" i="29" s="1"/>
  <c r="J28" i="29" s="1"/>
  <c r="T28" i="29" s="1"/>
  <c r="G27" i="29"/>
  <c r="I27" i="29" s="1"/>
  <c r="J27" i="29" s="1"/>
  <c r="T27" i="29" s="1"/>
  <c r="G26" i="29"/>
  <c r="I26" i="29" s="1"/>
  <c r="J26" i="29" s="1"/>
  <c r="T26" i="29" s="1"/>
  <c r="G25" i="29"/>
  <c r="I25" i="29" s="1"/>
  <c r="J25" i="29" s="1"/>
  <c r="T25" i="29" s="1"/>
  <c r="G24" i="29"/>
  <c r="I24" i="29" s="1"/>
  <c r="J24" i="29" s="1"/>
  <c r="T24" i="29" s="1"/>
  <c r="G23" i="29"/>
  <c r="I23" i="29" s="1"/>
  <c r="J23" i="29" s="1"/>
  <c r="T23" i="29" s="1"/>
  <c r="G22" i="29"/>
  <c r="I22" i="29" s="1"/>
  <c r="J22" i="29" s="1"/>
  <c r="T22" i="29" s="1"/>
  <c r="G21" i="29"/>
  <c r="I21" i="29" s="1"/>
  <c r="J21" i="29" s="1"/>
  <c r="T21" i="29" s="1"/>
  <c r="G20" i="29"/>
  <c r="I20" i="29" s="1"/>
  <c r="J20" i="29" s="1"/>
  <c r="T20" i="29" s="1"/>
  <c r="G19" i="29"/>
  <c r="I19" i="29" s="1"/>
  <c r="J19" i="29" s="1"/>
  <c r="T19" i="29" s="1"/>
  <c r="G18" i="29"/>
  <c r="I18" i="29" s="1"/>
  <c r="J18" i="29" s="1"/>
  <c r="T18" i="29" s="1"/>
  <c r="G17" i="29"/>
  <c r="I17" i="29" s="1"/>
  <c r="J17" i="29" s="1"/>
  <c r="T17" i="29" s="1"/>
  <c r="G16" i="29"/>
  <c r="I16" i="29" s="1"/>
  <c r="J16" i="29" s="1"/>
  <c r="T16" i="29" s="1"/>
  <c r="G15" i="29"/>
  <c r="I15" i="29" s="1"/>
  <c r="J15" i="29" s="1"/>
  <c r="T15" i="29" s="1"/>
  <c r="G14" i="29"/>
  <c r="I14" i="29" s="1"/>
  <c r="J14" i="29" s="1"/>
  <c r="T14" i="29" s="1"/>
  <c r="G13" i="29"/>
  <c r="G38" i="29" s="1"/>
  <c r="G12" i="29"/>
  <c r="I12" i="29" s="1"/>
  <c r="J12" i="29" s="1"/>
  <c r="T12" i="29" s="1"/>
  <c r="G11" i="29"/>
  <c r="I11" i="29" s="1"/>
  <c r="K23" i="28"/>
  <c r="F23" i="28"/>
  <c r="E23" i="28"/>
  <c r="D23" i="28"/>
  <c r="C23" i="28"/>
  <c r="G22" i="28"/>
  <c r="H22" i="28" s="1"/>
  <c r="J22" i="28" s="1"/>
  <c r="I22" i="28" s="1"/>
  <c r="G21" i="28"/>
  <c r="H21" i="28" s="1"/>
  <c r="J21" i="28" s="1"/>
  <c r="I21" i="28" s="1"/>
  <c r="G20" i="28"/>
  <c r="H20" i="28" s="1"/>
  <c r="J20" i="28" s="1"/>
  <c r="I20" i="28" s="1"/>
  <c r="G19" i="28"/>
  <c r="H19" i="28" s="1"/>
  <c r="J19" i="28" s="1"/>
  <c r="I19" i="28" s="1"/>
  <c r="G18" i="28"/>
  <c r="H18" i="28" s="1"/>
  <c r="J18" i="28" s="1"/>
  <c r="I18" i="28" s="1"/>
  <c r="G17" i="28"/>
  <c r="H17" i="28" s="1"/>
  <c r="J17" i="28" s="1"/>
  <c r="I17" i="28" s="1"/>
  <c r="G16" i="28"/>
  <c r="H16" i="28" s="1"/>
  <c r="J16" i="28" s="1"/>
  <c r="I16" i="28" s="1"/>
  <c r="G15" i="28"/>
  <c r="H15" i="28" s="1"/>
  <c r="J15" i="28" s="1"/>
  <c r="I15" i="28" s="1"/>
  <c r="G14" i="28"/>
  <c r="H14" i="28" s="1"/>
  <c r="J14" i="28" s="1"/>
  <c r="I14" i="28" s="1"/>
  <c r="G13" i="28"/>
  <c r="H13" i="28" s="1"/>
  <c r="J13" i="28" s="1"/>
  <c r="I13" i="28" s="1"/>
  <c r="G12" i="28"/>
  <c r="H12" i="28" s="1"/>
  <c r="J12" i="28" s="1"/>
  <c r="I12" i="28" s="1"/>
  <c r="G11" i="28"/>
  <c r="G23" i="28" s="1"/>
  <c r="D23" i="27"/>
  <c r="E23" i="27"/>
  <c r="F23" i="27"/>
  <c r="K23" i="27"/>
  <c r="G12" i="27"/>
  <c r="H12" i="27" s="1"/>
  <c r="J12" i="27" s="1"/>
  <c r="I12" i="27" s="1"/>
  <c r="G13" i="27"/>
  <c r="H13" i="27" s="1"/>
  <c r="J13" i="27" s="1"/>
  <c r="I13" i="27" s="1"/>
  <c r="G14" i="27"/>
  <c r="H14" i="27" s="1"/>
  <c r="J14" i="27" s="1"/>
  <c r="I14" i="27" s="1"/>
  <c r="G15" i="27"/>
  <c r="H15" i="27" s="1"/>
  <c r="J15" i="27" s="1"/>
  <c r="I15" i="27" s="1"/>
  <c r="G16" i="27"/>
  <c r="H16" i="27" s="1"/>
  <c r="J16" i="27" s="1"/>
  <c r="I16" i="27" s="1"/>
  <c r="G17" i="27"/>
  <c r="H17" i="27" s="1"/>
  <c r="J17" i="27" s="1"/>
  <c r="I17" i="27" s="1"/>
  <c r="G18" i="27"/>
  <c r="H18" i="27" s="1"/>
  <c r="J18" i="27" s="1"/>
  <c r="I18" i="27" s="1"/>
  <c r="G19" i="27"/>
  <c r="H19" i="27" s="1"/>
  <c r="J19" i="27" s="1"/>
  <c r="I19" i="27" s="1"/>
  <c r="G20" i="27"/>
  <c r="H20" i="27" s="1"/>
  <c r="J20" i="27" s="1"/>
  <c r="I20" i="27" s="1"/>
  <c r="G21" i="27"/>
  <c r="H21" i="27" s="1"/>
  <c r="J21" i="27" s="1"/>
  <c r="I21" i="27" s="1"/>
  <c r="G22" i="27"/>
  <c r="H22" i="27" s="1"/>
  <c r="J22" i="27" s="1"/>
  <c r="I22" i="27" s="1"/>
  <c r="G11" i="27"/>
  <c r="G23" i="27" s="1"/>
  <c r="J15" i="144" l="1"/>
  <c r="S15" i="144"/>
  <c r="J19" i="144"/>
  <c r="S19" i="144"/>
  <c r="J23" i="144"/>
  <c r="S23" i="144"/>
  <c r="J27" i="144"/>
  <c r="S27" i="144"/>
  <c r="J31" i="144"/>
  <c r="S31" i="144"/>
  <c r="J35" i="144"/>
  <c r="S35" i="144"/>
  <c r="J14" i="144"/>
  <c r="S14" i="144"/>
  <c r="J18" i="144"/>
  <c r="S18" i="144"/>
  <c r="J22" i="144"/>
  <c r="S22" i="144"/>
  <c r="S26" i="144"/>
  <c r="J26" i="144"/>
  <c r="J30" i="144"/>
  <c r="S30" i="144"/>
  <c r="J34" i="144"/>
  <c r="S34" i="144"/>
  <c r="H11" i="27"/>
  <c r="I11" i="144"/>
  <c r="I13" i="29"/>
  <c r="J13" i="29" s="1"/>
  <c r="T13" i="29" s="1"/>
  <c r="G38" i="152"/>
  <c r="S36" i="144"/>
  <c r="S32" i="144"/>
  <c r="S28" i="144"/>
  <c r="S24" i="144"/>
  <c r="S20" i="144"/>
  <c r="S16" i="144"/>
  <c r="S12" i="144"/>
  <c r="S37" i="144"/>
  <c r="S33" i="144"/>
  <c r="S29" i="144"/>
  <c r="S25" i="144"/>
  <c r="S21" i="144"/>
  <c r="S17" i="144"/>
  <c r="S13" i="144"/>
  <c r="J11" i="144"/>
  <c r="J11" i="29"/>
  <c r="T11" i="29" s="1"/>
  <c r="H11" i="28"/>
  <c r="C39" i="161"/>
  <c r="D39" i="161"/>
  <c r="D39" i="66"/>
  <c r="E39" i="66"/>
  <c r="F39" i="66"/>
  <c r="C39" i="66"/>
  <c r="G38" i="160"/>
  <c r="F38" i="160"/>
  <c r="E38" i="160"/>
  <c r="D38" i="160"/>
  <c r="C38" i="160"/>
  <c r="J37" i="160"/>
  <c r="J36" i="160"/>
  <c r="J35" i="160"/>
  <c r="J34" i="160"/>
  <c r="J33" i="160"/>
  <c r="J32" i="160"/>
  <c r="J31" i="160"/>
  <c r="J30" i="160"/>
  <c r="J29" i="160"/>
  <c r="J28" i="160"/>
  <c r="J27" i="160"/>
  <c r="J26" i="160"/>
  <c r="J25" i="160"/>
  <c r="J24" i="160"/>
  <c r="J23" i="160"/>
  <c r="J22" i="160"/>
  <c r="J21" i="160"/>
  <c r="J20" i="160"/>
  <c r="J19" i="160"/>
  <c r="J18" i="160"/>
  <c r="J17" i="160"/>
  <c r="J16" i="160"/>
  <c r="J15" i="160"/>
  <c r="J14" i="160"/>
  <c r="J13" i="160"/>
  <c r="J12" i="160"/>
  <c r="J11" i="160"/>
  <c r="I33" i="158"/>
  <c r="K36" i="158"/>
  <c r="L36" i="158"/>
  <c r="M36" i="158"/>
  <c r="N36" i="158"/>
  <c r="S11" i="144" l="1"/>
  <c r="I38" i="144"/>
  <c r="I38" i="29"/>
  <c r="J38" i="29" s="1"/>
  <c r="J11" i="27"/>
  <c r="H23" i="27"/>
  <c r="J11" i="28"/>
  <c r="H23" i="28"/>
  <c r="E39" i="161"/>
  <c r="J38" i="160"/>
  <c r="I11" i="27" l="1"/>
  <c r="I23" i="27" s="1"/>
  <c r="J23" i="27"/>
  <c r="T38" i="29"/>
  <c r="V38" i="29"/>
  <c r="J38" i="144"/>
  <c r="S38" i="144"/>
  <c r="J23" i="28"/>
  <c r="I11" i="28"/>
  <c r="I23" i="28" s="1"/>
  <c r="I36" i="158" l="1"/>
  <c r="J36" i="158"/>
  <c r="H36" i="158"/>
  <c r="G36" i="158"/>
  <c r="F36" i="158"/>
  <c r="E36" i="158"/>
  <c r="D36" i="158"/>
  <c r="C36" i="158"/>
  <c r="E14" i="105" l="1"/>
  <c r="F14" i="105"/>
  <c r="G14" i="105"/>
  <c r="J14" i="105"/>
  <c r="D14" i="105"/>
  <c r="I10" i="105"/>
  <c r="K10" i="105" s="1"/>
  <c r="C14" i="105"/>
  <c r="I13" i="105"/>
  <c r="K13" i="105" s="1"/>
  <c r="H13" i="105"/>
  <c r="I12" i="105"/>
  <c r="K12" i="105" s="1"/>
  <c r="H12" i="105"/>
  <c r="I11" i="105"/>
  <c r="K11" i="105" s="1"/>
  <c r="H11" i="105"/>
  <c r="I9" i="105"/>
  <c r="K9" i="105" s="1"/>
  <c r="H9" i="105"/>
  <c r="K14" i="105" l="1"/>
  <c r="I14" i="105"/>
  <c r="H10" i="105"/>
  <c r="H14" i="105" s="1"/>
  <c r="J34" i="103" l="1"/>
  <c r="J32" i="103"/>
  <c r="J25" i="103"/>
  <c r="E37" i="103"/>
  <c r="G37" i="103"/>
  <c r="H37" i="103"/>
  <c r="D37" i="103"/>
  <c r="H2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55" i="16"/>
  <c r="D40" i="138"/>
  <c r="C40" i="138"/>
  <c r="E40" i="138"/>
  <c r="C23" i="27"/>
  <c r="E9" i="135"/>
  <c r="E11" i="135"/>
  <c r="E12" i="135"/>
  <c r="E13" i="135"/>
  <c r="E14" i="135"/>
  <c r="E16" i="135"/>
  <c r="E19" i="135"/>
  <c r="E21" i="135"/>
  <c r="E22" i="135"/>
  <c r="E23" i="135"/>
  <c r="E24" i="135"/>
  <c r="E36" i="135" s="1"/>
  <c r="E25" i="135"/>
  <c r="E27" i="135"/>
  <c r="E28" i="135"/>
  <c r="E29" i="135"/>
  <c r="E30" i="135"/>
  <c r="E32" i="135"/>
  <c r="E34" i="135"/>
  <c r="E35" i="135"/>
  <c r="D36" i="135"/>
  <c r="D12" i="117"/>
  <c r="F12" i="117"/>
  <c r="I12" i="117"/>
  <c r="J12" i="117" s="1"/>
  <c r="D13" i="117"/>
  <c r="F13" i="117"/>
  <c r="I13" i="117"/>
  <c r="J13" i="117" s="1"/>
  <c r="D14" i="117"/>
  <c r="F14" i="117"/>
  <c r="I14" i="117"/>
  <c r="J14" i="117" s="1"/>
  <c r="D15" i="117"/>
  <c r="F15" i="117"/>
  <c r="I15" i="117"/>
  <c r="J15" i="117" s="1"/>
  <c r="D16" i="117"/>
  <c r="F16" i="117"/>
  <c r="I16" i="117"/>
  <c r="J16" i="117" s="1"/>
  <c r="D17" i="117"/>
  <c r="F17" i="117"/>
  <c r="I17" i="117"/>
  <c r="J17" i="117" s="1"/>
  <c r="D18" i="117"/>
  <c r="F18" i="117"/>
  <c r="I18" i="117"/>
  <c r="J18" i="117" s="1"/>
  <c r="D19" i="117"/>
  <c r="F19" i="117"/>
  <c r="I19" i="117"/>
  <c r="J19" i="117" s="1"/>
  <c r="D20" i="117"/>
  <c r="F20" i="117"/>
  <c r="I20" i="117"/>
  <c r="J20" i="117" s="1"/>
  <c r="D21" i="117"/>
  <c r="F21" i="117"/>
  <c r="I21" i="117"/>
  <c r="J21" i="117" s="1"/>
  <c r="D22" i="117"/>
  <c r="F22" i="117"/>
  <c r="I22" i="117"/>
  <c r="J22" i="117" s="1"/>
  <c r="D23" i="117"/>
  <c r="F23" i="117"/>
  <c r="I23" i="117"/>
  <c r="J23" i="117" s="1"/>
  <c r="D24" i="117"/>
  <c r="F24" i="117"/>
  <c r="I24" i="117"/>
  <c r="J24" i="117" s="1"/>
  <c r="D25" i="117"/>
  <c r="F25" i="117"/>
  <c r="I25" i="117"/>
  <c r="J25" i="117" s="1"/>
  <c r="D26" i="117"/>
  <c r="F26" i="117"/>
  <c r="I26" i="117"/>
  <c r="J26" i="117" s="1"/>
  <c r="D27" i="117"/>
  <c r="F27" i="117"/>
  <c r="I27" i="117"/>
  <c r="J27" i="117" s="1"/>
  <c r="D28" i="117"/>
  <c r="F28" i="117"/>
  <c r="F39" i="117" s="1"/>
  <c r="I28" i="117"/>
  <c r="J28" i="117" s="1"/>
  <c r="D29" i="117"/>
  <c r="F29" i="117"/>
  <c r="I29" i="117"/>
  <c r="J29" i="117" s="1"/>
  <c r="D30" i="117"/>
  <c r="F30" i="117"/>
  <c r="I30" i="117"/>
  <c r="J30" i="117" s="1"/>
  <c r="D31" i="117"/>
  <c r="F31" i="117"/>
  <c r="I31" i="117"/>
  <c r="J31" i="117" s="1"/>
  <c r="D32" i="117"/>
  <c r="F32" i="117"/>
  <c r="I32" i="117"/>
  <c r="J32" i="117" s="1"/>
  <c r="D33" i="117"/>
  <c r="F33" i="117"/>
  <c r="I33" i="117"/>
  <c r="J33" i="117" s="1"/>
  <c r="D34" i="117"/>
  <c r="F34" i="117"/>
  <c r="I34" i="117"/>
  <c r="J34" i="117" s="1"/>
  <c r="D35" i="117"/>
  <c r="F35" i="117"/>
  <c r="I35" i="117"/>
  <c r="J35" i="117" s="1"/>
  <c r="D36" i="117"/>
  <c r="F36" i="117"/>
  <c r="I36" i="117"/>
  <c r="J36" i="117" s="1"/>
  <c r="D37" i="117"/>
  <c r="F37" i="117"/>
  <c r="I37" i="117"/>
  <c r="J37" i="117" s="1"/>
  <c r="D38" i="117"/>
  <c r="F38" i="117"/>
  <c r="I38" i="117"/>
  <c r="J38" i="117" s="1"/>
  <c r="C39" i="117"/>
  <c r="D39" i="117"/>
  <c r="E39" i="117"/>
  <c r="I39" i="117"/>
  <c r="C39" i="26"/>
  <c r="D39" i="26"/>
  <c r="E39" i="26"/>
  <c r="F39" i="26"/>
  <c r="G39" i="26"/>
  <c r="H39" i="26"/>
  <c r="I39" i="26"/>
  <c r="J39" i="26"/>
  <c r="K39" i="2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 s="1"/>
  <c r="C39" i="16"/>
  <c r="D39" i="16"/>
  <c r="E39" i="16"/>
  <c r="F39" i="16"/>
  <c r="I39" i="16"/>
  <c r="J39" i="16"/>
  <c r="K39" i="16"/>
  <c r="H17" i="115"/>
  <c r="H25" i="115" s="1"/>
  <c r="C25" i="115"/>
  <c r="D25" i="115"/>
  <c r="E25" i="115"/>
  <c r="F25" i="115"/>
  <c r="G25" i="115"/>
  <c r="I25" i="115"/>
  <c r="J25" i="115"/>
  <c r="C9" i="155"/>
  <c r="C10" i="155"/>
  <c r="C11" i="155"/>
  <c r="C12" i="155"/>
  <c r="C13" i="155"/>
  <c r="C14" i="155"/>
  <c r="C15" i="155"/>
  <c r="C16" i="155"/>
  <c r="C17" i="155"/>
  <c r="C18" i="155"/>
  <c r="C19" i="155"/>
  <c r="C20" i="155"/>
  <c r="C21" i="155"/>
  <c r="C22" i="155"/>
  <c r="C23" i="155"/>
  <c r="C24" i="155"/>
  <c r="C25" i="155"/>
  <c r="C26" i="155"/>
  <c r="C27" i="155"/>
  <c r="C28" i="155"/>
  <c r="C29" i="155"/>
  <c r="C30" i="155"/>
  <c r="C31" i="155"/>
  <c r="C32" i="155"/>
  <c r="C33" i="155"/>
  <c r="C36" i="155" s="1"/>
  <c r="C34" i="155"/>
  <c r="C35" i="155"/>
  <c r="D36" i="155"/>
  <c r="E36" i="155"/>
  <c r="G9" i="142"/>
  <c r="G10" i="142"/>
  <c r="G11" i="142"/>
  <c r="G12" i="142"/>
  <c r="G13" i="142"/>
  <c r="G14" i="142"/>
  <c r="G15" i="142"/>
  <c r="G16" i="142"/>
  <c r="G17" i="142"/>
  <c r="G18" i="142"/>
  <c r="G19" i="142"/>
  <c r="G20" i="142"/>
  <c r="G21" i="142"/>
  <c r="G22" i="142"/>
  <c r="G23" i="142"/>
  <c r="G24" i="142"/>
  <c r="G25" i="142"/>
  <c r="G26" i="142"/>
  <c r="G27" i="142"/>
  <c r="G28" i="142"/>
  <c r="G29" i="142"/>
  <c r="G30" i="142"/>
  <c r="G31" i="142"/>
  <c r="G32" i="142"/>
  <c r="G33" i="142"/>
  <c r="G34" i="142"/>
  <c r="G35" i="142"/>
  <c r="C36" i="142"/>
  <c r="D36" i="142"/>
  <c r="F36" i="142"/>
  <c r="G15" i="102"/>
  <c r="G16" i="102"/>
  <c r="G17" i="102"/>
  <c r="G18" i="102"/>
  <c r="G19" i="102"/>
  <c r="G20" i="102"/>
  <c r="G22" i="102"/>
  <c r="G23" i="102"/>
  <c r="G24" i="102"/>
  <c r="G25" i="102"/>
  <c r="G26" i="102"/>
  <c r="E12" i="14"/>
  <c r="C16" i="14"/>
  <c r="D16" i="14"/>
  <c r="E16" i="14"/>
  <c r="G16" i="14"/>
  <c r="C25" i="14"/>
  <c r="D25" i="14"/>
  <c r="E25" i="14"/>
  <c r="G25" i="14"/>
  <c r="C26" i="14"/>
  <c r="D26" i="14"/>
  <c r="E26" i="14"/>
  <c r="F13" i="114"/>
  <c r="G13" i="114" s="1"/>
  <c r="H13" i="114"/>
  <c r="Q13" i="114" s="1"/>
  <c r="K13" i="114"/>
  <c r="L13" i="114"/>
  <c r="M13" i="114" s="1"/>
  <c r="O13" i="114"/>
  <c r="P13" i="114" s="1"/>
  <c r="U13" i="114"/>
  <c r="V13" i="114"/>
  <c r="F14" i="114"/>
  <c r="G14" i="114" s="1"/>
  <c r="H14" i="114"/>
  <c r="I14" i="114" s="1"/>
  <c r="J14" i="114" s="1"/>
  <c r="K14" i="114"/>
  <c r="L14" i="114" s="1"/>
  <c r="P14" i="114"/>
  <c r="Q14" i="114"/>
  <c r="R14" i="114" s="1"/>
  <c r="U14" i="114"/>
  <c r="V14" i="114"/>
  <c r="F15" i="114"/>
  <c r="G15" i="114"/>
  <c r="H15" i="114"/>
  <c r="I15" i="114" s="1"/>
  <c r="K15" i="114"/>
  <c r="L15" i="114" s="1"/>
  <c r="P15" i="114"/>
  <c r="Q15" i="114"/>
  <c r="U15" i="114"/>
  <c r="V15" i="114"/>
  <c r="F16" i="114"/>
  <c r="G16" i="114"/>
  <c r="H16" i="114"/>
  <c r="I16" i="114" s="1"/>
  <c r="K16" i="114"/>
  <c r="L16" i="114" s="1"/>
  <c r="P16" i="114"/>
  <c r="Q16" i="114"/>
  <c r="R16" i="114" s="1"/>
  <c r="S16" i="114" s="1"/>
  <c r="U16" i="114"/>
  <c r="V16" i="114"/>
  <c r="F17" i="114"/>
  <c r="G17" i="114" s="1"/>
  <c r="H17" i="114"/>
  <c r="I17" i="114" s="1"/>
  <c r="K17" i="114"/>
  <c r="L17" i="114" s="1"/>
  <c r="P17" i="114"/>
  <c r="Q17" i="114"/>
  <c r="R17" i="114" s="1"/>
  <c r="S17" i="114" s="1"/>
  <c r="U17" i="114"/>
  <c r="V17" i="114"/>
  <c r="F18" i="114"/>
  <c r="G18" i="114" s="1"/>
  <c r="H18" i="114"/>
  <c r="I18" i="114" s="1"/>
  <c r="K18" i="114"/>
  <c r="M18" i="114" s="1"/>
  <c r="L18" i="114"/>
  <c r="P18" i="114"/>
  <c r="U18" i="114"/>
  <c r="V18" i="114"/>
  <c r="F19" i="114"/>
  <c r="G19" i="114" s="1"/>
  <c r="H19" i="114"/>
  <c r="J19" i="114" s="1"/>
  <c r="I19" i="114"/>
  <c r="K19" i="114"/>
  <c r="L19" i="114"/>
  <c r="M19" i="114"/>
  <c r="P19" i="114"/>
  <c r="U19" i="114"/>
  <c r="V19" i="114"/>
  <c r="F20" i="114"/>
  <c r="G20" i="114" s="1"/>
  <c r="H20" i="114"/>
  <c r="I20" i="114"/>
  <c r="J20" i="114"/>
  <c r="K20" i="114"/>
  <c r="L20" i="114" s="1"/>
  <c r="M20" i="114" s="1"/>
  <c r="P20" i="114"/>
  <c r="Q20" i="114"/>
  <c r="R20" i="114" s="1"/>
  <c r="S20" i="114" s="1"/>
  <c r="U20" i="114"/>
  <c r="V20" i="114"/>
  <c r="F21" i="114"/>
  <c r="G21" i="114" s="1"/>
  <c r="H21" i="114"/>
  <c r="I21" i="114"/>
  <c r="J21" i="114"/>
  <c r="K21" i="114"/>
  <c r="L21" i="114" s="1"/>
  <c r="P21" i="114"/>
  <c r="Q21" i="114"/>
  <c r="R21" i="114" s="1"/>
  <c r="S21" i="114" s="1"/>
  <c r="U21" i="114"/>
  <c r="V21" i="114"/>
  <c r="F22" i="114"/>
  <c r="G22" i="114" s="1"/>
  <c r="H22" i="114"/>
  <c r="I22" i="114" s="1"/>
  <c r="K22" i="114"/>
  <c r="L22" i="114" s="1"/>
  <c r="P22" i="114"/>
  <c r="Q22" i="114"/>
  <c r="R22" i="114" s="1"/>
  <c r="U22" i="114"/>
  <c r="V22" i="114"/>
  <c r="F23" i="114"/>
  <c r="G23" i="114" s="1"/>
  <c r="H23" i="114"/>
  <c r="I23" i="114" s="1"/>
  <c r="K23" i="114"/>
  <c r="L23" i="114"/>
  <c r="M23" i="114" s="1"/>
  <c r="P23" i="114"/>
  <c r="U23" i="114"/>
  <c r="V23" i="114"/>
  <c r="F24" i="114"/>
  <c r="G24" i="114" s="1"/>
  <c r="H24" i="114"/>
  <c r="I24" i="114"/>
  <c r="J24" i="114" s="1"/>
  <c r="K24" i="114"/>
  <c r="L24" i="114" s="1"/>
  <c r="M24" i="114" s="1"/>
  <c r="P24" i="114"/>
  <c r="Q24" i="114"/>
  <c r="R24" i="114" s="1"/>
  <c r="S24" i="114" s="1"/>
  <c r="U24" i="114"/>
  <c r="V24" i="114"/>
  <c r="F25" i="114"/>
  <c r="G25" i="114" s="1"/>
  <c r="H25" i="114"/>
  <c r="I25" i="114"/>
  <c r="J25" i="114" s="1"/>
  <c r="K25" i="114"/>
  <c r="L25" i="114" s="1"/>
  <c r="M25" i="114" s="1"/>
  <c r="P25" i="114"/>
  <c r="Q25" i="114"/>
  <c r="R25" i="114" s="1"/>
  <c r="S25" i="114" s="1"/>
  <c r="U25" i="114"/>
  <c r="V25" i="114"/>
  <c r="F26" i="114"/>
  <c r="G26" i="114" s="1"/>
  <c r="H26" i="114"/>
  <c r="K26" i="114"/>
  <c r="M26" i="114" s="1"/>
  <c r="L26" i="114"/>
  <c r="P26" i="114"/>
  <c r="U26" i="114"/>
  <c r="V26" i="114"/>
  <c r="F27" i="114"/>
  <c r="G27" i="114" s="1"/>
  <c r="H27" i="114"/>
  <c r="I27" i="114" s="1"/>
  <c r="K27" i="114"/>
  <c r="L27" i="114" s="1"/>
  <c r="P27" i="114"/>
  <c r="Q27" i="114"/>
  <c r="U27" i="114"/>
  <c r="V27" i="114"/>
  <c r="F28" i="114"/>
  <c r="G28" i="114" s="1"/>
  <c r="H28" i="114"/>
  <c r="I28" i="114" s="1"/>
  <c r="K28" i="114"/>
  <c r="L28" i="114"/>
  <c r="M28" i="114" s="1"/>
  <c r="P28" i="114"/>
  <c r="U28" i="114"/>
  <c r="V28" i="114"/>
  <c r="F29" i="114"/>
  <c r="G29" i="114" s="1"/>
  <c r="H29" i="114"/>
  <c r="I29" i="114" s="1"/>
  <c r="K29" i="114"/>
  <c r="L29" i="114"/>
  <c r="M29" i="114" s="1"/>
  <c r="P29" i="114"/>
  <c r="U29" i="114"/>
  <c r="V29" i="114"/>
  <c r="F30" i="114"/>
  <c r="G30" i="114" s="1"/>
  <c r="H30" i="114"/>
  <c r="J30" i="114" s="1"/>
  <c r="I30" i="114"/>
  <c r="K30" i="114"/>
  <c r="L30" i="114" s="1"/>
  <c r="M30" i="114" s="1"/>
  <c r="P30" i="114"/>
  <c r="Q30" i="114"/>
  <c r="R30" i="114" s="1"/>
  <c r="U30" i="114"/>
  <c r="V30" i="114"/>
  <c r="F31" i="114"/>
  <c r="G31" i="114" s="1"/>
  <c r="H31" i="114"/>
  <c r="Q31" i="114" s="1"/>
  <c r="K31" i="114"/>
  <c r="M31" i="114" s="1"/>
  <c r="L31" i="114"/>
  <c r="P31" i="114"/>
  <c r="U31" i="114"/>
  <c r="V31" i="114"/>
  <c r="F32" i="114"/>
  <c r="G32" i="114" s="1"/>
  <c r="H32" i="114"/>
  <c r="J32" i="114" s="1"/>
  <c r="I32" i="114"/>
  <c r="K32" i="114"/>
  <c r="L32" i="114" s="1"/>
  <c r="P32" i="114"/>
  <c r="Q32" i="114"/>
  <c r="R32" i="114" s="1"/>
  <c r="S32" i="114" s="1"/>
  <c r="U32" i="114"/>
  <c r="V32" i="114"/>
  <c r="F33" i="114"/>
  <c r="G33" i="114" s="1"/>
  <c r="H33" i="114"/>
  <c r="I33" i="114" s="1"/>
  <c r="J33" i="114" s="1"/>
  <c r="K33" i="114"/>
  <c r="L33" i="114" s="1"/>
  <c r="P33" i="114"/>
  <c r="Q33" i="114"/>
  <c r="R33" i="114" s="1"/>
  <c r="S33" i="114" s="1"/>
  <c r="U33" i="114"/>
  <c r="V33" i="114"/>
  <c r="F34" i="114"/>
  <c r="G34" i="114" s="1"/>
  <c r="H34" i="114"/>
  <c r="I34" i="114" s="1"/>
  <c r="J34" i="114" s="1"/>
  <c r="K34" i="114"/>
  <c r="L34" i="114" s="1"/>
  <c r="P34" i="114"/>
  <c r="Q34" i="114"/>
  <c r="R34" i="114" s="1"/>
  <c r="U34" i="114"/>
  <c r="V34" i="114"/>
  <c r="F35" i="114"/>
  <c r="G35" i="114"/>
  <c r="H35" i="114"/>
  <c r="I35" i="114" s="1"/>
  <c r="J35" i="114" s="1"/>
  <c r="K35" i="114"/>
  <c r="L35" i="114" s="1"/>
  <c r="P35" i="114"/>
  <c r="Q35" i="114"/>
  <c r="U35" i="114"/>
  <c r="V35" i="114"/>
  <c r="F36" i="114"/>
  <c r="G36" i="114"/>
  <c r="H36" i="114"/>
  <c r="I36" i="114" s="1"/>
  <c r="J36" i="114" s="1"/>
  <c r="K36" i="114"/>
  <c r="L36" i="114" s="1"/>
  <c r="P36" i="114"/>
  <c r="Q36" i="114"/>
  <c r="R36" i="114" s="1"/>
  <c r="U36" i="114"/>
  <c r="V36" i="114"/>
  <c r="F37" i="114"/>
  <c r="G37" i="114" s="1"/>
  <c r="H37" i="114"/>
  <c r="I37" i="114" s="1"/>
  <c r="J37" i="114" s="1"/>
  <c r="K37" i="114"/>
  <c r="L37" i="114" s="1"/>
  <c r="P37" i="114"/>
  <c r="Q37" i="114"/>
  <c r="R37" i="114" s="1"/>
  <c r="S37" i="114" s="1"/>
  <c r="U37" i="114"/>
  <c r="V37" i="114"/>
  <c r="F38" i="114"/>
  <c r="G38" i="114" s="1"/>
  <c r="H38" i="114"/>
  <c r="Q38" i="114" s="1"/>
  <c r="R38" i="114" s="1"/>
  <c r="K38" i="114"/>
  <c r="M38" i="114" s="1"/>
  <c r="L38" i="114"/>
  <c r="P38" i="114"/>
  <c r="U38" i="114"/>
  <c r="U40" i="114" s="1"/>
  <c r="V38" i="114"/>
  <c r="F39" i="114"/>
  <c r="G39" i="114" s="1"/>
  <c r="H39" i="114"/>
  <c r="J39" i="114" s="1"/>
  <c r="I39" i="114"/>
  <c r="L39" i="114"/>
  <c r="M39" i="114"/>
  <c r="P39" i="114"/>
  <c r="U39" i="114"/>
  <c r="V39" i="114"/>
  <c r="V40" i="114" s="1"/>
  <c r="C40" i="114"/>
  <c r="D40" i="114"/>
  <c r="E40" i="114"/>
  <c r="H40" i="114"/>
  <c r="K40" i="114"/>
  <c r="N40" i="114"/>
  <c r="O40" i="114"/>
  <c r="F14" i="88"/>
  <c r="G14" i="88" s="1"/>
  <c r="H14" i="88"/>
  <c r="I14" i="88" s="1"/>
  <c r="K14" i="88"/>
  <c r="M14" i="88" s="1"/>
  <c r="L14" i="88"/>
  <c r="O14" i="88"/>
  <c r="P14" i="88"/>
  <c r="Q14" i="88"/>
  <c r="R14" i="88" s="1"/>
  <c r="U14" i="88"/>
  <c r="V14" i="88"/>
  <c r="F15" i="88"/>
  <c r="G15" i="88"/>
  <c r="H15" i="88"/>
  <c r="I15" i="88" s="1"/>
  <c r="J15" i="88"/>
  <c r="K15" i="88"/>
  <c r="P15" i="88"/>
  <c r="U15" i="88"/>
  <c r="V15" i="88"/>
  <c r="F16" i="88"/>
  <c r="G16" i="88" s="1"/>
  <c r="H16" i="88"/>
  <c r="I16" i="88" s="1"/>
  <c r="J16" i="88"/>
  <c r="K16" i="88"/>
  <c r="L16" i="88" s="1"/>
  <c r="P16" i="88"/>
  <c r="Q16" i="88"/>
  <c r="R16" i="88" s="1"/>
  <c r="U16" i="88"/>
  <c r="V16" i="88"/>
  <c r="F17" i="88"/>
  <c r="G17" i="88"/>
  <c r="H17" i="88"/>
  <c r="I17" i="88" s="1"/>
  <c r="K17" i="88"/>
  <c r="L17" i="88" s="1"/>
  <c r="P17" i="88"/>
  <c r="Q17" i="88"/>
  <c r="R17" i="88" s="1"/>
  <c r="U17" i="88"/>
  <c r="V17" i="88"/>
  <c r="F18" i="88"/>
  <c r="G18" i="88"/>
  <c r="H18" i="88"/>
  <c r="I18" i="88" s="1"/>
  <c r="K18" i="88"/>
  <c r="L18" i="88" s="1"/>
  <c r="P18" i="88"/>
  <c r="Q18" i="88"/>
  <c r="U18" i="88"/>
  <c r="V18" i="88"/>
  <c r="F19" i="88"/>
  <c r="G19" i="88" s="1"/>
  <c r="H19" i="88"/>
  <c r="I19" i="88" s="1"/>
  <c r="K19" i="88"/>
  <c r="L19" i="88" s="1"/>
  <c r="P19" i="88"/>
  <c r="Q19" i="88"/>
  <c r="R19" i="88" s="1"/>
  <c r="U19" i="88"/>
  <c r="V19" i="88"/>
  <c r="F20" i="88"/>
  <c r="G20" i="88" s="1"/>
  <c r="H20" i="88"/>
  <c r="J20" i="88" s="1"/>
  <c r="I20" i="88"/>
  <c r="K20" i="88"/>
  <c r="L20" i="88" s="1"/>
  <c r="M20" i="88" s="1"/>
  <c r="P20" i="88"/>
  <c r="Q20" i="88"/>
  <c r="R20" i="88" s="1"/>
  <c r="S20" i="88" s="1"/>
  <c r="U20" i="88"/>
  <c r="V20" i="88"/>
  <c r="F21" i="88"/>
  <c r="G21" i="88"/>
  <c r="H21" i="88"/>
  <c r="J21" i="88" s="1"/>
  <c r="I21" i="88"/>
  <c r="K21" i="88"/>
  <c r="L21" i="88" s="1"/>
  <c r="M21" i="88" s="1"/>
  <c r="P21" i="88"/>
  <c r="Q21" i="88"/>
  <c r="R21" i="88" s="1"/>
  <c r="U21" i="88"/>
  <c r="V21" i="88"/>
  <c r="F22" i="88"/>
  <c r="G22" i="88"/>
  <c r="H22" i="88"/>
  <c r="J22" i="88" s="1"/>
  <c r="I22" i="88"/>
  <c r="K22" i="88"/>
  <c r="L22" i="88" s="1"/>
  <c r="P22" i="88"/>
  <c r="Q22" i="88"/>
  <c r="R22" i="88" s="1"/>
  <c r="U22" i="88"/>
  <c r="V22" i="88"/>
  <c r="F23" i="88"/>
  <c r="G23" i="88" s="1"/>
  <c r="H23" i="88"/>
  <c r="I23" i="88" s="1"/>
  <c r="J23" i="88" s="1"/>
  <c r="K23" i="88"/>
  <c r="M23" i="88" s="1"/>
  <c r="L23" i="88"/>
  <c r="P23" i="88"/>
  <c r="U23" i="88"/>
  <c r="V23" i="88"/>
  <c r="F24" i="88"/>
  <c r="G24" i="88" s="1"/>
  <c r="H24" i="88"/>
  <c r="Q24" i="88" s="1"/>
  <c r="R24" i="88" s="1"/>
  <c r="S24" i="88" s="1"/>
  <c r="K24" i="88"/>
  <c r="L24" i="88"/>
  <c r="M24" i="88" s="1"/>
  <c r="P24" i="88"/>
  <c r="U24" i="88"/>
  <c r="V24" i="88"/>
  <c r="F25" i="88"/>
  <c r="G25" i="88" s="1"/>
  <c r="H25" i="88"/>
  <c r="Q25" i="88" s="1"/>
  <c r="R25" i="88" s="1"/>
  <c r="K25" i="88"/>
  <c r="M25" i="88" s="1"/>
  <c r="L25" i="88"/>
  <c r="P25" i="88"/>
  <c r="U25" i="88"/>
  <c r="V25" i="88"/>
  <c r="F26" i="88"/>
  <c r="G26" i="88" s="1"/>
  <c r="H26" i="88"/>
  <c r="Q26" i="88" s="1"/>
  <c r="K26" i="88"/>
  <c r="M26" i="88" s="1"/>
  <c r="L26" i="88"/>
  <c r="P26" i="88"/>
  <c r="U26" i="88"/>
  <c r="V26" i="88"/>
  <c r="F27" i="88"/>
  <c r="G27" i="88"/>
  <c r="H27" i="88"/>
  <c r="I27" i="88"/>
  <c r="J27" i="88" s="1"/>
  <c r="K27" i="88"/>
  <c r="L27" i="88" s="1"/>
  <c r="P27" i="88"/>
  <c r="Q27" i="88"/>
  <c r="R27" i="88" s="1"/>
  <c r="U27" i="88"/>
  <c r="V27" i="88"/>
  <c r="F28" i="88"/>
  <c r="G28" i="88" s="1"/>
  <c r="H28" i="88"/>
  <c r="I28" i="88" s="1"/>
  <c r="J28" i="88" s="1"/>
  <c r="K28" i="88"/>
  <c r="L28" i="88"/>
  <c r="M28" i="88" s="1"/>
  <c r="P28" i="88"/>
  <c r="U28" i="88"/>
  <c r="V28" i="88"/>
  <c r="F29" i="88"/>
  <c r="G29" i="88" s="1"/>
  <c r="H29" i="88"/>
  <c r="J29" i="88" s="1"/>
  <c r="I29" i="88"/>
  <c r="K29" i="88"/>
  <c r="L29" i="88" s="1"/>
  <c r="P29" i="88"/>
  <c r="Q29" i="88"/>
  <c r="R29" i="88" s="1"/>
  <c r="U29" i="88"/>
  <c r="V29" i="88"/>
  <c r="F30" i="88"/>
  <c r="G30" i="88" s="1"/>
  <c r="H30" i="88"/>
  <c r="Q30" i="88" s="1"/>
  <c r="K30" i="88"/>
  <c r="M30" i="88" s="1"/>
  <c r="L30" i="88"/>
  <c r="P30" i="88"/>
  <c r="U30" i="88"/>
  <c r="V30" i="88"/>
  <c r="F31" i="88"/>
  <c r="G31" i="88" s="1"/>
  <c r="H31" i="88"/>
  <c r="Q31" i="88" s="1"/>
  <c r="R31" i="88" s="1"/>
  <c r="S31" i="88" s="1"/>
  <c r="K31" i="88"/>
  <c r="M31" i="88" s="1"/>
  <c r="L31" i="88"/>
  <c r="P31" i="88"/>
  <c r="U31" i="88"/>
  <c r="V31" i="88"/>
  <c r="F32" i="88"/>
  <c r="G32" i="88"/>
  <c r="H32" i="88"/>
  <c r="Q32" i="88" s="1"/>
  <c r="R32" i="88" s="1"/>
  <c r="K32" i="88"/>
  <c r="M32" i="88" s="1"/>
  <c r="L32" i="88"/>
  <c r="P32" i="88"/>
  <c r="U32" i="88"/>
  <c r="V32" i="88"/>
  <c r="F33" i="88"/>
  <c r="G33" i="88"/>
  <c r="H33" i="88"/>
  <c r="Q33" i="88" s="1"/>
  <c r="R33" i="88" s="1"/>
  <c r="K33" i="88"/>
  <c r="M33" i="88" s="1"/>
  <c r="L33" i="88"/>
  <c r="P33" i="88"/>
  <c r="U33" i="88"/>
  <c r="V33" i="88"/>
  <c r="F34" i="88"/>
  <c r="G34" i="88"/>
  <c r="H34" i="88"/>
  <c r="Q34" i="88" s="1"/>
  <c r="K34" i="88"/>
  <c r="M34" i="88" s="1"/>
  <c r="L34" i="88"/>
  <c r="P34" i="88"/>
  <c r="U34" i="88"/>
  <c r="V34" i="88"/>
  <c r="F35" i="88"/>
  <c r="G35" i="88" s="1"/>
  <c r="H35" i="88"/>
  <c r="Q35" i="88" s="1"/>
  <c r="R35" i="88" s="1"/>
  <c r="S35" i="88" s="1"/>
  <c r="K35" i="88"/>
  <c r="M35" i="88" s="1"/>
  <c r="L35" i="88"/>
  <c r="P35" i="88"/>
  <c r="U35" i="88"/>
  <c r="V35" i="88"/>
  <c r="F36" i="88"/>
  <c r="G36" i="88" s="1"/>
  <c r="H36" i="88"/>
  <c r="J36" i="88" s="1"/>
  <c r="I36" i="88"/>
  <c r="K36" i="88"/>
  <c r="L36" i="88"/>
  <c r="M36" i="88"/>
  <c r="P36" i="88"/>
  <c r="U36" i="88"/>
  <c r="V36" i="88"/>
  <c r="F37" i="88"/>
  <c r="G37" i="88" s="1"/>
  <c r="H37" i="88"/>
  <c r="Q37" i="88" s="1"/>
  <c r="R37" i="88" s="1"/>
  <c r="I37" i="88"/>
  <c r="J37" i="88"/>
  <c r="K37" i="88"/>
  <c r="L37" i="88"/>
  <c r="M37" i="88"/>
  <c r="P37" i="88"/>
  <c r="U37" i="88"/>
  <c r="V37" i="88"/>
  <c r="F38" i="88"/>
  <c r="G38" i="88" s="1"/>
  <c r="H38" i="88"/>
  <c r="I38" i="88" s="1"/>
  <c r="J38" i="88" s="1"/>
  <c r="K38" i="88"/>
  <c r="L38" i="88" s="1"/>
  <c r="P38" i="88"/>
  <c r="Q38" i="88"/>
  <c r="R38" i="88" s="1"/>
  <c r="U38" i="88"/>
  <c r="V38" i="88"/>
  <c r="F39" i="88"/>
  <c r="G39" i="88" s="1"/>
  <c r="H39" i="88"/>
  <c r="I39" i="88"/>
  <c r="J39" i="88"/>
  <c r="K39" i="88"/>
  <c r="L39" i="88" s="1"/>
  <c r="M39" i="88" s="1"/>
  <c r="P39" i="88"/>
  <c r="Q39" i="88"/>
  <c r="R39" i="88" s="1"/>
  <c r="S39" i="88" s="1"/>
  <c r="U39" i="88"/>
  <c r="V39" i="88"/>
  <c r="F40" i="88"/>
  <c r="G40" i="88"/>
  <c r="H40" i="88"/>
  <c r="Q40" i="88" s="1"/>
  <c r="R40" i="88" s="1"/>
  <c r="S40" i="88" s="1"/>
  <c r="K40" i="88"/>
  <c r="M40" i="88" s="1"/>
  <c r="L40" i="88"/>
  <c r="P40" i="88"/>
  <c r="U40" i="88"/>
  <c r="U41" i="88" s="1"/>
  <c r="V40" i="88"/>
  <c r="C41" i="88"/>
  <c r="D41" i="88"/>
  <c r="E41" i="88"/>
  <c r="K41" i="88"/>
  <c r="N41" i="88"/>
  <c r="O41" i="88"/>
  <c r="V41" i="88"/>
  <c r="H13" i="75"/>
  <c r="K13" i="75"/>
  <c r="H14" i="75"/>
  <c r="K14" i="75"/>
  <c r="H15" i="75"/>
  <c r="K15" i="75"/>
  <c r="H16" i="75"/>
  <c r="K16" i="75"/>
  <c r="H17" i="75"/>
  <c r="K17" i="75"/>
  <c r="H18" i="75"/>
  <c r="K18" i="75"/>
  <c r="H19" i="75"/>
  <c r="K19" i="75"/>
  <c r="H20" i="75"/>
  <c r="K20" i="75"/>
  <c r="H21" i="75"/>
  <c r="K21" i="75"/>
  <c r="H22" i="75"/>
  <c r="K22" i="75"/>
  <c r="H23" i="75"/>
  <c r="K23" i="75"/>
  <c r="H24" i="75"/>
  <c r="K24" i="75"/>
  <c r="H25" i="75"/>
  <c r="K25" i="75"/>
  <c r="H26" i="75"/>
  <c r="K26" i="75"/>
  <c r="H27" i="75"/>
  <c r="K27" i="75"/>
  <c r="H28" i="75"/>
  <c r="K28" i="75"/>
  <c r="H29" i="75"/>
  <c r="K29" i="75"/>
  <c r="H30" i="75"/>
  <c r="K30" i="75"/>
  <c r="H31" i="75"/>
  <c r="K31" i="75"/>
  <c r="H32" i="75"/>
  <c r="K32" i="75"/>
  <c r="H33" i="75"/>
  <c r="K33" i="75"/>
  <c r="H34" i="75"/>
  <c r="K34" i="75"/>
  <c r="H35" i="75"/>
  <c r="K35" i="75"/>
  <c r="H36" i="75"/>
  <c r="K36" i="75"/>
  <c r="H37" i="75"/>
  <c r="K37" i="75"/>
  <c r="H38" i="75"/>
  <c r="K38" i="75"/>
  <c r="H39" i="75"/>
  <c r="K39" i="75"/>
  <c r="F40" i="75"/>
  <c r="G40" i="75"/>
  <c r="H40" i="75"/>
  <c r="I40" i="75"/>
  <c r="J40" i="75"/>
  <c r="C14" i="7"/>
  <c r="I14" i="7" s="1"/>
  <c r="D14" i="7"/>
  <c r="H14" i="7"/>
  <c r="K14" i="7"/>
  <c r="C15" i="7"/>
  <c r="I15" i="7" s="1"/>
  <c r="D15" i="7"/>
  <c r="H15" i="7"/>
  <c r="K15" i="7"/>
  <c r="C16" i="7"/>
  <c r="I16" i="7" s="1"/>
  <c r="D16" i="7"/>
  <c r="E16" i="7"/>
  <c r="H16" i="7"/>
  <c r="K16" i="7"/>
  <c r="C17" i="7"/>
  <c r="I17" i="7" s="1"/>
  <c r="D17" i="7"/>
  <c r="E17" i="7" s="1"/>
  <c r="H17" i="7"/>
  <c r="K17" i="7"/>
  <c r="C18" i="7"/>
  <c r="I18" i="7" s="1"/>
  <c r="D18" i="7"/>
  <c r="H18" i="7"/>
  <c r="K18" i="7"/>
  <c r="C19" i="7"/>
  <c r="I19" i="7" s="1"/>
  <c r="D19" i="7"/>
  <c r="H19" i="7"/>
  <c r="K19" i="7"/>
  <c r="C20" i="7"/>
  <c r="I20" i="7" s="1"/>
  <c r="D20" i="7"/>
  <c r="E20" i="7"/>
  <c r="H20" i="7"/>
  <c r="K20" i="7"/>
  <c r="C21" i="7"/>
  <c r="I21" i="7" s="1"/>
  <c r="D21" i="7"/>
  <c r="E21" i="7" s="1"/>
  <c r="H21" i="7"/>
  <c r="K21" i="7"/>
  <c r="C22" i="7"/>
  <c r="I22" i="7" s="1"/>
  <c r="D22" i="7"/>
  <c r="H22" i="7"/>
  <c r="K22" i="7"/>
  <c r="C23" i="7"/>
  <c r="I23" i="7" s="1"/>
  <c r="D23" i="7"/>
  <c r="H23" i="7"/>
  <c r="K23" i="7"/>
  <c r="C24" i="7"/>
  <c r="I24" i="7" s="1"/>
  <c r="D24" i="7"/>
  <c r="E24" i="7"/>
  <c r="H24" i="7"/>
  <c r="K24" i="7"/>
  <c r="C25" i="7"/>
  <c r="I25" i="7" s="1"/>
  <c r="D25" i="7"/>
  <c r="E25" i="7" s="1"/>
  <c r="H25" i="7"/>
  <c r="K25" i="7"/>
  <c r="C26" i="7"/>
  <c r="I26" i="7" s="1"/>
  <c r="D26" i="7"/>
  <c r="H26" i="7"/>
  <c r="K26" i="7"/>
  <c r="C27" i="7"/>
  <c r="I27" i="7" s="1"/>
  <c r="D27" i="7"/>
  <c r="H27" i="7"/>
  <c r="K27" i="7"/>
  <c r="C28" i="7"/>
  <c r="I28" i="7" s="1"/>
  <c r="D28" i="7"/>
  <c r="E28" i="7"/>
  <c r="H28" i="7"/>
  <c r="K28" i="7"/>
  <c r="C29" i="7"/>
  <c r="I29" i="7" s="1"/>
  <c r="D29" i="7"/>
  <c r="E29" i="7"/>
  <c r="H29" i="7"/>
  <c r="K29" i="7"/>
  <c r="C30" i="7"/>
  <c r="I30" i="7" s="1"/>
  <c r="D30" i="7"/>
  <c r="H30" i="7"/>
  <c r="K30" i="7"/>
  <c r="C31" i="7"/>
  <c r="I31" i="7" s="1"/>
  <c r="D31" i="7"/>
  <c r="H31" i="7"/>
  <c r="K31" i="7"/>
  <c r="C32" i="7"/>
  <c r="I32" i="7" s="1"/>
  <c r="D32" i="7"/>
  <c r="E32" i="7"/>
  <c r="H32" i="7"/>
  <c r="K32" i="7"/>
  <c r="C33" i="7"/>
  <c r="I33" i="7" s="1"/>
  <c r="D33" i="7"/>
  <c r="E33" i="7" s="1"/>
  <c r="H33" i="7"/>
  <c r="K33" i="7"/>
  <c r="C34" i="7"/>
  <c r="I34" i="7" s="1"/>
  <c r="D34" i="7"/>
  <c r="H34" i="7"/>
  <c r="K34" i="7"/>
  <c r="C35" i="7"/>
  <c r="I35" i="7" s="1"/>
  <c r="D35" i="7"/>
  <c r="H35" i="7"/>
  <c r="K35" i="7"/>
  <c r="C36" i="7"/>
  <c r="I36" i="7" s="1"/>
  <c r="D36" i="7"/>
  <c r="E36" i="7"/>
  <c r="H36" i="7"/>
  <c r="K36" i="7"/>
  <c r="C37" i="7"/>
  <c r="I37" i="7" s="1"/>
  <c r="D37" i="7"/>
  <c r="E37" i="7"/>
  <c r="H37" i="7"/>
  <c r="K37" i="7"/>
  <c r="C38" i="7"/>
  <c r="I38" i="7" s="1"/>
  <c r="D38" i="7"/>
  <c r="H38" i="7"/>
  <c r="K38" i="7"/>
  <c r="C39" i="7"/>
  <c r="I39" i="7" s="1"/>
  <c r="D39" i="7"/>
  <c r="H39" i="7"/>
  <c r="K39" i="7"/>
  <c r="C40" i="7"/>
  <c r="I40" i="7" s="1"/>
  <c r="D40" i="7"/>
  <c r="E40" i="7"/>
  <c r="H40" i="7"/>
  <c r="K40" i="7"/>
  <c r="C41" i="7"/>
  <c r="D41" i="7"/>
  <c r="F41" i="7"/>
  <c r="G41" i="7"/>
  <c r="H41" i="7"/>
  <c r="I41" i="7"/>
  <c r="J41" i="7"/>
  <c r="F13" i="86"/>
  <c r="H12" i="13" s="1"/>
  <c r="K13" i="86"/>
  <c r="F14" i="86"/>
  <c r="H13" i="13" s="1"/>
  <c r="K14" i="86"/>
  <c r="F15" i="86"/>
  <c r="K15" i="86"/>
  <c r="F16" i="86"/>
  <c r="H15" i="13" s="1"/>
  <c r="K16" i="86"/>
  <c r="F17" i="86"/>
  <c r="H16" i="13" s="1"/>
  <c r="K17" i="86"/>
  <c r="F18" i="86"/>
  <c r="H17" i="13" s="1"/>
  <c r="K18" i="86"/>
  <c r="F19" i="86"/>
  <c r="K19" i="86"/>
  <c r="F20" i="86"/>
  <c r="H19" i="13" s="1"/>
  <c r="K20" i="86"/>
  <c r="F21" i="86"/>
  <c r="H20" i="13" s="1"/>
  <c r="K21" i="86"/>
  <c r="F22" i="86"/>
  <c r="H21" i="13" s="1"/>
  <c r="K22" i="86"/>
  <c r="F23" i="86"/>
  <c r="K23" i="86"/>
  <c r="F24" i="86"/>
  <c r="H23" i="13" s="1"/>
  <c r="K24" i="86"/>
  <c r="F25" i="86"/>
  <c r="H24" i="13" s="1"/>
  <c r="K25" i="86"/>
  <c r="F26" i="86"/>
  <c r="H25" i="13" s="1"/>
  <c r="K26" i="86"/>
  <c r="F27" i="86"/>
  <c r="K27" i="86"/>
  <c r="F28" i="86"/>
  <c r="H27" i="13" s="1"/>
  <c r="K28" i="86"/>
  <c r="F29" i="86"/>
  <c r="H28" i="13" s="1"/>
  <c r="K29" i="86"/>
  <c r="F30" i="86"/>
  <c r="H29" i="13" s="1"/>
  <c r="K30" i="86"/>
  <c r="F31" i="86"/>
  <c r="K31" i="86"/>
  <c r="F32" i="86"/>
  <c r="H31" i="13" s="1"/>
  <c r="K32" i="86"/>
  <c r="F33" i="86"/>
  <c r="H32" i="13" s="1"/>
  <c r="K33" i="86"/>
  <c r="F34" i="86"/>
  <c r="H33" i="13" s="1"/>
  <c r="K34" i="86"/>
  <c r="F35" i="86"/>
  <c r="K35" i="86"/>
  <c r="F36" i="86"/>
  <c r="H35" i="13" s="1"/>
  <c r="K36" i="86"/>
  <c r="F37" i="86"/>
  <c r="H36" i="13" s="1"/>
  <c r="K37" i="86"/>
  <c r="F38" i="86"/>
  <c r="H37" i="13" s="1"/>
  <c r="K38" i="86"/>
  <c r="F39" i="86"/>
  <c r="G39" i="86" s="1"/>
  <c r="K39" i="86"/>
  <c r="C40" i="86"/>
  <c r="D40" i="86"/>
  <c r="E40" i="86"/>
  <c r="H40" i="86"/>
  <c r="I40" i="86"/>
  <c r="J40" i="86"/>
  <c r="C12" i="74"/>
  <c r="C12" i="13" s="1"/>
  <c r="D12" i="13" s="1"/>
  <c r="C14" i="74"/>
  <c r="C14" i="13" s="1"/>
  <c r="C16" i="74"/>
  <c r="C16" i="13" s="1"/>
  <c r="C18" i="74"/>
  <c r="C18" i="13" s="1"/>
  <c r="C20" i="74"/>
  <c r="C20" i="13" s="1"/>
  <c r="C22" i="74"/>
  <c r="C22" i="13" s="1"/>
  <c r="C24" i="74"/>
  <c r="C24" i="13" s="1"/>
  <c r="C26" i="74"/>
  <c r="C26" i="13" s="1"/>
  <c r="C28" i="74"/>
  <c r="C28" i="13" s="1"/>
  <c r="C30" i="74"/>
  <c r="C30" i="13" s="1"/>
  <c r="C32" i="74"/>
  <c r="C32" i="13" s="1"/>
  <c r="C34" i="74"/>
  <c r="C34" i="13" s="1"/>
  <c r="C36" i="74"/>
  <c r="C36" i="13" s="1"/>
  <c r="C38" i="74"/>
  <c r="C38" i="13" s="1"/>
  <c r="E38" i="13" s="1"/>
  <c r="D39" i="74"/>
  <c r="E39" i="74"/>
  <c r="C39" i="5"/>
  <c r="D39" i="5"/>
  <c r="E39" i="5"/>
  <c r="F12" i="111"/>
  <c r="C13" i="75" s="1"/>
  <c r="G12" i="111"/>
  <c r="F13" i="111"/>
  <c r="C13" i="74" s="1"/>
  <c r="C13" i="13" s="1"/>
  <c r="D13" i="13" s="1"/>
  <c r="G13" i="111"/>
  <c r="F14" i="111"/>
  <c r="C15" i="75" s="1"/>
  <c r="G14" i="111"/>
  <c r="F15" i="111"/>
  <c r="C16" i="75" s="1"/>
  <c r="G15" i="111"/>
  <c r="F16" i="111"/>
  <c r="C17" i="75" s="1"/>
  <c r="G16" i="111"/>
  <c r="F17" i="111"/>
  <c r="C17" i="74" s="1"/>
  <c r="C17" i="13" s="1"/>
  <c r="G17" i="111"/>
  <c r="F18" i="111"/>
  <c r="C19" i="75" s="1"/>
  <c r="G18" i="111"/>
  <c r="F19" i="111"/>
  <c r="C20" i="75" s="1"/>
  <c r="G19" i="111"/>
  <c r="F20" i="111"/>
  <c r="C21" i="75" s="1"/>
  <c r="G20" i="111"/>
  <c r="F21" i="111"/>
  <c r="C21" i="74" s="1"/>
  <c r="C21" i="13" s="1"/>
  <c r="G21" i="111"/>
  <c r="F22" i="111"/>
  <c r="C23" i="75" s="1"/>
  <c r="G22" i="111"/>
  <c r="F23" i="111"/>
  <c r="C24" i="75" s="1"/>
  <c r="G23" i="111"/>
  <c r="F24" i="111"/>
  <c r="C25" i="75" s="1"/>
  <c r="G24" i="111"/>
  <c r="F25" i="111"/>
  <c r="C25" i="74" s="1"/>
  <c r="C25" i="13" s="1"/>
  <c r="G25" i="111"/>
  <c r="F26" i="111"/>
  <c r="C27" i="75" s="1"/>
  <c r="G26" i="111"/>
  <c r="F27" i="111"/>
  <c r="C28" i="75" s="1"/>
  <c r="G27" i="111"/>
  <c r="F28" i="111"/>
  <c r="C29" i="75" s="1"/>
  <c r="G28" i="111"/>
  <c r="F29" i="111"/>
  <c r="C29" i="74" s="1"/>
  <c r="C29" i="13" s="1"/>
  <c r="G29" i="111"/>
  <c r="F30" i="111"/>
  <c r="C31" i="75" s="1"/>
  <c r="G30" i="111"/>
  <c r="F31" i="111"/>
  <c r="C32" i="75" s="1"/>
  <c r="G31" i="111"/>
  <c r="F32" i="111"/>
  <c r="C33" i="75" s="1"/>
  <c r="G32" i="111"/>
  <c r="F33" i="111"/>
  <c r="C33" i="74" s="1"/>
  <c r="C33" i="13" s="1"/>
  <c r="G33" i="111"/>
  <c r="F34" i="111"/>
  <c r="C35" i="75" s="1"/>
  <c r="G34" i="111"/>
  <c r="F35" i="111"/>
  <c r="C36" i="75" s="1"/>
  <c r="G35" i="111"/>
  <c r="F36" i="111"/>
  <c r="C37" i="75" s="1"/>
  <c r="G36" i="111"/>
  <c r="F37" i="111"/>
  <c r="C37" i="74" s="1"/>
  <c r="C37" i="13" s="1"/>
  <c r="G37" i="111"/>
  <c r="F38" i="111"/>
  <c r="C39" i="75" s="1"/>
  <c r="G38" i="111"/>
  <c r="C39" i="111"/>
  <c r="D39" i="111"/>
  <c r="F39" i="111"/>
  <c r="G39" i="111"/>
  <c r="F12" i="4"/>
  <c r="G12" i="4"/>
  <c r="F13" i="4"/>
  <c r="G13" i="4"/>
  <c r="G39" i="4" s="1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C39" i="4"/>
  <c r="D39" i="4"/>
  <c r="F39" i="4"/>
  <c r="E36" i="141"/>
  <c r="F36" i="141"/>
  <c r="G36" i="141"/>
  <c r="G11" i="47"/>
  <c r="L11" i="47"/>
  <c r="G12" i="47"/>
  <c r="L12" i="47"/>
  <c r="G13" i="47"/>
  <c r="L13" i="47"/>
  <c r="G14" i="47"/>
  <c r="L14" i="47"/>
  <c r="G15" i="47"/>
  <c r="L15" i="47"/>
  <c r="G16" i="47"/>
  <c r="L16" i="47"/>
  <c r="G17" i="47"/>
  <c r="L17" i="47"/>
  <c r="G18" i="47"/>
  <c r="L18" i="47"/>
  <c r="G19" i="47"/>
  <c r="L19" i="47"/>
  <c r="G20" i="47"/>
  <c r="L20" i="47"/>
  <c r="G21" i="47"/>
  <c r="L21" i="47"/>
  <c r="G22" i="47"/>
  <c r="L22" i="47"/>
  <c r="G23" i="47"/>
  <c r="L23" i="47"/>
  <c r="G24" i="47"/>
  <c r="L24" i="47"/>
  <c r="G25" i="47"/>
  <c r="L25" i="47"/>
  <c r="G26" i="47"/>
  <c r="L26" i="47"/>
  <c r="G27" i="47"/>
  <c r="L27" i="47"/>
  <c r="G28" i="47"/>
  <c r="L28" i="47"/>
  <c r="G29" i="47"/>
  <c r="L29" i="47"/>
  <c r="G30" i="47"/>
  <c r="L30" i="47"/>
  <c r="G31" i="47"/>
  <c r="L31" i="47"/>
  <c r="G32" i="47"/>
  <c r="L32" i="47"/>
  <c r="G33" i="47"/>
  <c r="L33" i="47"/>
  <c r="G34" i="47"/>
  <c r="L34" i="47"/>
  <c r="G35" i="47"/>
  <c r="L35" i="47"/>
  <c r="G36" i="47"/>
  <c r="L36" i="47"/>
  <c r="G37" i="47"/>
  <c r="L37" i="47"/>
  <c r="C38" i="47"/>
  <c r="D38" i="47"/>
  <c r="E38" i="47"/>
  <c r="F38" i="47"/>
  <c r="H38" i="47"/>
  <c r="I38" i="47"/>
  <c r="J38" i="47"/>
  <c r="K38" i="47"/>
  <c r="G11" i="60"/>
  <c r="E9" i="133" s="1"/>
  <c r="G12" i="60"/>
  <c r="G13" i="60"/>
  <c r="E11" i="133" s="1"/>
  <c r="G14" i="60"/>
  <c r="G15" i="60"/>
  <c r="E13" i="133" s="1"/>
  <c r="G16" i="60"/>
  <c r="G17" i="60"/>
  <c r="E15" i="133" s="1"/>
  <c r="G18" i="60"/>
  <c r="G19" i="60"/>
  <c r="E17" i="133" s="1"/>
  <c r="G20" i="60"/>
  <c r="G21" i="60"/>
  <c r="E19" i="133" s="1"/>
  <c r="G22" i="60"/>
  <c r="G23" i="60"/>
  <c r="E21" i="133" s="1"/>
  <c r="G24" i="60"/>
  <c r="G25" i="60"/>
  <c r="E23" i="133" s="1"/>
  <c r="G26" i="60"/>
  <c r="G27" i="60"/>
  <c r="E25" i="133" s="1"/>
  <c r="G28" i="60"/>
  <c r="G29" i="60"/>
  <c r="E27" i="133" s="1"/>
  <c r="G30" i="60"/>
  <c r="G31" i="60"/>
  <c r="E29" i="133" s="1"/>
  <c r="G32" i="60"/>
  <c r="G33" i="60"/>
  <c r="E31" i="133" s="1"/>
  <c r="G34" i="60"/>
  <c r="G35" i="60"/>
  <c r="E33" i="133" s="1"/>
  <c r="G36" i="60"/>
  <c r="G37" i="60"/>
  <c r="E35" i="133" s="1"/>
  <c r="C38" i="60"/>
  <c r="D38" i="60"/>
  <c r="E38" i="60"/>
  <c r="F38" i="60"/>
  <c r="H38" i="60"/>
  <c r="J38" i="60"/>
  <c r="G11" i="59"/>
  <c r="G12" i="59"/>
  <c r="L12" i="59"/>
  <c r="G13" i="59"/>
  <c r="L13" i="59"/>
  <c r="G14" i="59"/>
  <c r="L14" i="59"/>
  <c r="G15" i="59"/>
  <c r="L15" i="59"/>
  <c r="G16" i="59"/>
  <c r="L16" i="59"/>
  <c r="G17" i="59"/>
  <c r="L17" i="59"/>
  <c r="G18" i="59"/>
  <c r="L18" i="59"/>
  <c r="G19" i="59"/>
  <c r="L19" i="59"/>
  <c r="G20" i="59"/>
  <c r="L20" i="59"/>
  <c r="G21" i="59"/>
  <c r="L21" i="59"/>
  <c r="G22" i="59"/>
  <c r="L22" i="59"/>
  <c r="G23" i="59"/>
  <c r="L23" i="59"/>
  <c r="G24" i="59"/>
  <c r="L24" i="59"/>
  <c r="G25" i="59"/>
  <c r="L25" i="59"/>
  <c r="G26" i="59"/>
  <c r="L26" i="59"/>
  <c r="G27" i="59"/>
  <c r="L27" i="59"/>
  <c r="G28" i="59"/>
  <c r="L28" i="59"/>
  <c r="G29" i="59"/>
  <c r="L29" i="59"/>
  <c r="G30" i="59"/>
  <c r="L30" i="59"/>
  <c r="G31" i="59"/>
  <c r="L31" i="59"/>
  <c r="G32" i="59"/>
  <c r="L32" i="59"/>
  <c r="G33" i="59"/>
  <c r="L33" i="59"/>
  <c r="G34" i="59"/>
  <c r="L34" i="59"/>
  <c r="G35" i="59"/>
  <c r="L35" i="59"/>
  <c r="G36" i="59"/>
  <c r="L36" i="59"/>
  <c r="G37" i="59"/>
  <c r="L37" i="59"/>
  <c r="G11" i="58"/>
  <c r="L11" i="58"/>
  <c r="G12" i="58"/>
  <c r="L12" i="58"/>
  <c r="G13" i="58"/>
  <c r="L13" i="58"/>
  <c r="G14" i="58"/>
  <c r="L14" i="58"/>
  <c r="G15" i="58"/>
  <c r="L15" i="58"/>
  <c r="G16" i="58"/>
  <c r="L16" i="58"/>
  <c r="G17" i="58"/>
  <c r="L17" i="58"/>
  <c r="G18" i="58"/>
  <c r="L18" i="58"/>
  <c r="G19" i="58"/>
  <c r="L19" i="58"/>
  <c r="G20" i="58"/>
  <c r="L20" i="58"/>
  <c r="G21" i="58"/>
  <c r="L21" i="58"/>
  <c r="G22" i="58"/>
  <c r="L22" i="58"/>
  <c r="G23" i="58"/>
  <c r="L23" i="58"/>
  <c r="G24" i="58"/>
  <c r="L24" i="58"/>
  <c r="G25" i="58"/>
  <c r="L25" i="58"/>
  <c r="G26" i="58"/>
  <c r="L26" i="58"/>
  <c r="G27" i="58"/>
  <c r="L27" i="58"/>
  <c r="G28" i="58"/>
  <c r="L28" i="58"/>
  <c r="G29" i="58"/>
  <c r="L29" i="58"/>
  <c r="G30" i="58"/>
  <c r="L30" i="58"/>
  <c r="G31" i="58"/>
  <c r="L31" i="58"/>
  <c r="G32" i="58"/>
  <c r="L32" i="58"/>
  <c r="G33" i="58"/>
  <c r="L33" i="58"/>
  <c r="G34" i="58"/>
  <c r="L34" i="58"/>
  <c r="G35" i="58"/>
  <c r="L35" i="58"/>
  <c r="G36" i="58"/>
  <c r="L36" i="58"/>
  <c r="G37" i="58"/>
  <c r="L37" i="58"/>
  <c r="C38" i="58"/>
  <c r="D38" i="58"/>
  <c r="E38" i="58"/>
  <c r="F38" i="58"/>
  <c r="G38" i="58"/>
  <c r="H38" i="58"/>
  <c r="I38" i="58"/>
  <c r="J38" i="58"/>
  <c r="K38" i="58"/>
  <c r="L38" i="58"/>
  <c r="M38" i="58"/>
  <c r="G12" i="1"/>
  <c r="L12" i="1"/>
  <c r="G13" i="1"/>
  <c r="L13" i="1"/>
  <c r="G14" i="1"/>
  <c r="L14" i="1"/>
  <c r="G15" i="1"/>
  <c r="L15" i="1"/>
  <c r="G16" i="1"/>
  <c r="L16" i="1"/>
  <c r="G17" i="1"/>
  <c r="L17" i="1"/>
  <c r="G18" i="1"/>
  <c r="L18" i="1"/>
  <c r="G19" i="1"/>
  <c r="L19" i="1"/>
  <c r="G20" i="1"/>
  <c r="L20" i="1"/>
  <c r="G21" i="1"/>
  <c r="L21" i="1"/>
  <c r="G22" i="1"/>
  <c r="L22" i="1"/>
  <c r="G23" i="1"/>
  <c r="L23" i="1"/>
  <c r="G24" i="1"/>
  <c r="L24" i="1"/>
  <c r="G25" i="1"/>
  <c r="L25" i="1"/>
  <c r="G26" i="1"/>
  <c r="L26" i="1"/>
  <c r="G27" i="1"/>
  <c r="L27" i="1"/>
  <c r="G28" i="1"/>
  <c r="L28" i="1"/>
  <c r="G29" i="1"/>
  <c r="L29" i="1"/>
  <c r="G30" i="1"/>
  <c r="L30" i="1"/>
  <c r="G31" i="1"/>
  <c r="L31" i="1"/>
  <c r="G32" i="1"/>
  <c r="L32" i="1"/>
  <c r="G33" i="1"/>
  <c r="L33" i="1"/>
  <c r="G34" i="1"/>
  <c r="L34" i="1"/>
  <c r="G35" i="1"/>
  <c r="L35" i="1"/>
  <c r="G36" i="1"/>
  <c r="L36" i="1"/>
  <c r="G37" i="1"/>
  <c r="L37" i="1"/>
  <c r="G38" i="1"/>
  <c r="L38" i="1"/>
  <c r="C39" i="1"/>
  <c r="D39" i="1"/>
  <c r="E39" i="1"/>
  <c r="F39" i="1"/>
  <c r="G39" i="1"/>
  <c r="H39" i="1"/>
  <c r="I39" i="1"/>
  <c r="J39" i="1"/>
  <c r="K39" i="1"/>
  <c r="L39" i="1"/>
  <c r="F9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30" i="100"/>
  <c r="F31" i="100"/>
  <c r="F32" i="100"/>
  <c r="F33" i="100"/>
  <c r="F34" i="100"/>
  <c r="F35" i="100"/>
  <c r="C36" i="100"/>
  <c r="D36" i="100"/>
  <c r="E36" i="100"/>
  <c r="G36" i="100"/>
  <c r="C16" i="96"/>
  <c r="D16" i="96"/>
  <c r="E16" i="96"/>
  <c r="G16" i="96"/>
  <c r="H16" i="96"/>
  <c r="I16" i="96"/>
  <c r="O16" i="96"/>
  <c r="P16" i="96"/>
  <c r="Q16" i="96"/>
  <c r="F17" i="96"/>
  <c r="H17" i="96"/>
  <c r="H21" i="96" s="1"/>
  <c r="H27" i="96" s="1"/>
  <c r="J17" i="96"/>
  <c r="L17" i="96"/>
  <c r="N17" i="96"/>
  <c r="K17" i="96" s="1"/>
  <c r="O17" i="96"/>
  <c r="S17" i="96" s="1"/>
  <c r="P17" i="96"/>
  <c r="T17" i="96" s="1"/>
  <c r="Q17" i="96"/>
  <c r="U17" i="96" s="1"/>
  <c r="C18" i="96"/>
  <c r="D18" i="96"/>
  <c r="T18" i="96" s="1"/>
  <c r="E18" i="96"/>
  <c r="U18" i="96" s="1"/>
  <c r="G18" i="96"/>
  <c r="H18" i="96"/>
  <c r="I18" i="96"/>
  <c r="O18" i="96"/>
  <c r="O21" i="96" s="1"/>
  <c r="O27" i="96" s="1"/>
  <c r="P18" i="96"/>
  <c r="Q18" i="96"/>
  <c r="C19" i="96"/>
  <c r="S19" i="96" s="1"/>
  <c r="D19" i="96"/>
  <c r="T19" i="96" s="1"/>
  <c r="E19" i="96"/>
  <c r="G19" i="96"/>
  <c r="H19" i="96"/>
  <c r="I19" i="96"/>
  <c r="O19" i="96"/>
  <c r="P19" i="96"/>
  <c r="Q19" i="96"/>
  <c r="F20" i="96"/>
  <c r="G20" i="96"/>
  <c r="H20" i="96"/>
  <c r="I20" i="96"/>
  <c r="K20" i="96"/>
  <c r="K21" i="96" s="1"/>
  <c r="K27" i="96" s="1"/>
  <c r="M20" i="96"/>
  <c r="N20" i="96"/>
  <c r="L20" i="96" s="1"/>
  <c r="O20" i="96"/>
  <c r="S20" i="96" s="1"/>
  <c r="V20" i="96" s="1"/>
  <c r="P20" i="96"/>
  <c r="T20" i="96" s="1"/>
  <c r="Q20" i="96"/>
  <c r="U20" i="96" s="1"/>
  <c r="D21" i="96"/>
  <c r="J21" i="96"/>
  <c r="Q21" i="96"/>
  <c r="R21" i="96"/>
  <c r="C24" i="96"/>
  <c r="S24" i="96" s="1"/>
  <c r="D24" i="96"/>
  <c r="T24" i="96" s="1"/>
  <c r="E24" i="96"/>
  <c r="U24" i="96" s="1"/>
  <c r="G24" i="96"/>
  <c r="H24" i="96"/>
  <c r="I24" i="96"/>
  <c r="C26" i="96"/>
  <c r="F26" i="96"/>
  <c r="J27" i="96"/>
  <c r="Q27" i="96"/>
  <c r="R27" i="96"/>
  <c r="B13" i="56"/>
  <c r="D13" i="56"/>
  <c r="F13" i="56"/>
  <c r="H13" i="56"/>
  <c r="J13" i="56"/>
  <c r="L13" i="56"/>
  <c r="G32" i="56"/>
  <c r="O32" i="56"/>
  <c r="D47" i="56"/>
  <c r="G47" i="56"/>
  <c r="L18" i="60"/>
  <c r="G36" i="142" l="1"/>
  <c r="L21" i="96"/>
  <c r="L27" i="96" s="1"/>
  <c r="V24" i="96"/>
  <c r="S18" i="96"/>
  <c r="V18" i="96" s="1"/>
  <c r="C34" i="133"/>
  <c r="C35" i="103"/>
  <c r="F35" i="103" s="1"/>
  <c r="C26" i="133"/>
  <c r="C27" i="103"/>
  <c r="F27" i="103" s="1"/>
  <c r="C18" i="133"/>
  <c r="C19" i="103"/>
  <c r="F19" i="103" s="1"/>
  <c r="C10" i="133"/>
  <c r="C11" i="103"/>
  <c r="F11" i="103" s="1"/>
  <c r="F36" i="100"/>
  <c r="D26" i="96"/>
  <c r="D27" i="96" s="1"/>
  <c r="N21" i="96"/>
  <c r="N27" i="96" s="1"/>
  <c r="E21" i="96"/>
  <c r="U21" i="96" s="1"/>
  <c r="U19" i="96"/>
  <c r="M17" i="96"/>
  <c r="M21" i="96" s="1"/>
  <c r="M27" i="96" s="1"/>
  <c r="T16" i="96"/>
  <c r="S34" i="88"/>
  <c r="R34" i="88"/>
  <c r="C32" i="133"/>
  <c r="C33" i="103"/>
  <c r="F33" i="103" s="1"/>
  <c r="C20" i="133"/>
  <c r="C21" i="103"/>
  <c r="F21" i="103" s="1"/>
  <c r="D37" i="13"/>
  <c r="E37" i="13"/>
  <c r="D33" i="13"/>
  <c r="E33" i="13"/>
  <c r="D32" i="75"/>
  <c r="E32" i="75" s="1"/>
  <c r="D29" i="13"/>
  <c r="E29" i="13"/>
  <c r="D28" i="75"/>
  <c r="E28" i="75" s="1"/>
  <c r="D25" i="13"/>
  <c r="E25" i="13"/>
  <c r="D24" i="75"/>
  <c r="E24" i="75" s="1"/>
  <c r="D21" i="13"/>
  <c r="E21" i="13"/>
  <c r="D20" i="75"/>
  <c r="E20" i="75" s="1"/>
  <c r="D17" i="13"/>
  <c r="E17" i="13"/>
  <c r="D16" i="75"/>
  <c r="E16" i="75" s="1"/>
  <c r="T21" i="96"/>
  <c r="C28" i="133"/>
  <c r="C29" i="103"/>
  <c r="F29" i="103" s="1"/>
  <c r="C24" i="133"/>
  <c r="C25" i="103"/>
  <c r="F25" i="103" s="1"/>
  <c r="C16" i="133"/>
  <c r="C17" i="103"/>
  <c r="F17" i="103" s="1"/>
  <c r="C12" i="133"/>
  <c r="C13" i="103"/>
  <c r="F13" i="103" s="1"/>
  <c r="D36" i="75"/>
  <c r="E36" i="75"/>
  <c r="P21" i="96"/>
  <c r="P27" i="96" s="1"/>
  <c r="C21" i="96"/>
  <c r="V19" i="96"/>
  <c r="V17" i="96"/>
  <c r="I17" i="96"/>
  <c r="I21" i="96" s="1"/>
  <c r="I27" i="96" s="1"/>
  <c r="G17" i="96"/>
  <c r="G21" i="96" s="1"/>
  <c r="G27" i="96" s="1"/>
  <c r="R26" i="88"/>
  <c r="S26" i="88" s="1"/>
  <c r="E26" i="96"/>
  <c r="E27" i="96" s="1"/>
  <c r="U27" i="96" s="1"/>
  <c r="C30" i="133"/>
  <c r="C31" i="103"/>
  <c r="F31" i="103" s="1"/>
  <c r="C22" i="133"/>
  <c r="C23" i="103"/>
  <c r="F23" i="103" s="1"/>
  <c r="C14" i="133"/>
  <c r="C15" i="103"/>
  <c r="F15" i="103" s="1"/>
  <c r="D39" i="75"/>
  <c r="E39" i="75" s="1"/>
  <c r="D37" i="75"/>
  <c r="E37" i="75" s="1"/>
  <c r="D35" i="75"/>
  <c r="E35" i="75" s="1"/>
  <c r="D33" i="75"/>
  <c r="E33" i="75" s="1"/>
  <c r="D31" i="75"/>
  <c r="E31" i="75" s="1"/>
  <c r="D29" i="75"/>
  <c r="E29" i="75" s="1"/>
  <c r="D27" i="75"/>
  <c r="E27" i="75" s="1"/>
  <c r="D25" i="75"/>
  <c r="E25" i="75" s="1"/>
  <c r="D23" i="75"/>
  <c r="E23" i="75" s="1"/>
  <c r="D21" i="75"/>
  <c r="E21" i="75" s="1"/>
  <c r="D19" i="75"/>
  <c r="E19" i="75" s="1"/>
  <c r="D17" i="75"/>
  <c r="E17" i="75" s="1"/>
  <c r="D15" i="75"/>
  <c r="E15" i="75" s="1"/>
  <c r="D13" i="75"/>
  <c r="R30" i="88"/>
  <c r="S30" i="88" s="1"/>
  <c r="J17" i="88"/>
  <c r="D36" i="13"/>
  <c r="E36" i="13"/>
  <c r="D32" i="13"/>
  <c r="E32" i="13"/>
  <c r="D28" i="13"/>
  <c r="E28" i="13"/>
  <c r="D24" i="13"/>
  <c r="E24" i="13"/>
  <c r="D20" i="13"/>
  <c r="E20" i="13"/>
  <c r="D16" i="13"/>
  <c r="E16" i="13"/>
  <c r="G35" i="86"/>
  <c r="H34" i="13"/>
  <c r="G31" i="86"/>
  <c r="H30" i="13"/>
  <c r="G27" i="86"/>
  <c r="H26" i="13"/>
  <c r="G23" i="86"/>
  <c r="H22" i="13"/>
  <c r="G19" i="86"/>
  <c r="H18" i="13"/>
  <c r="G15" i="86"/>
  <c r="H14" i="13"/>
  <c r="E39" i="7"/>
  <c r="E35" i="7"/>
  <c r="E31" i="7"/>
  <c r="E27" i="7"/>
  <c r="E23" i="7"/>
  <c r="E19" i="7"/>
  <c r="E15" i="7"/>
  <c r="H41" i="88"/>
  <c r="M38" i="88"/>
  <c r="Q36" i="88"/>
  <c r="R36" i="88" s="1"/>
  <c r="M29" i="88"/>
  <c r="S27" i="88"/>
  <c r="M27" i="88"/>
  <c r="M22" i="88"/>
  <c r="L40" i="114"/>
  <c r="R13" i="114"/>
  <c r="U16" i="96"/>
  <c r="C35" i="133"/>
  <c r="C36" i="103"/>
  <c r="F36" i="103" s="1"/>
  <c r="C31" i="133"/>
  <c r="C32" i="103"/>
  <c r="F32" i="103" s="1"/>
  <c r="C27" i="133"/>
  <c r="C28" i="103"/>
  <c r="F28" i="103" s="1"/>
  <c r="C23" i="133"/>
  <c r="C24" i="103"/>
  <c r="F24" i="103" s="1"/>
  <c r="C19" i="133"/>
  <c r="C20" i="103"/>
  <c r="F20" i="103" s="1"/>
  <c r="C15" i="133"/>
  <c r="C16" i="103"/>
  <c r="F16" i="103" s="1"/>
  <c r="C11" i="133"/>
  <c r="C12" i="103"/>
  <c r="F12" i="103" s="1"/>
  <c r="C34" i="141"/>
  <c r="D34" i="141" s="1"/>
  <c r="E34" i="133"/>
  <c r="C30" i="141"/>
  <c r="D30" i="141" s="1"/>
  <c r="E30" i="133"/>
  <c r="C26" i="141"/>
  <c r="D26" i="141" s="1"/>
  <c r="E26" i="133"/>
  <c r="C22" i="141"/>
  <c r="D22" i="141" s="1"/>
  <c r="E22" i="133"/>
  <c r="E18" i="133"/>
  <c r="C14" i="141"/>
  <c r="D14" i="141" s="1"/>
  <c r="E14" i="133"/>
  <c r="C10" i="141"/>
  <c r="D10" i="141" s="1"/>
  <c r="E10" i="133"/>
  <c r="C35" i="74"/>
  <c r="C35" i="13" s="1"/>
  <c r="D35" i="13" s="1"/>
  <c r="C31" i="74"/>
  <c r="C31" i="13" s="1"/>
  <c r="D31" i="13" s="1"/>
  <c r="C27" i="74"/>
  <c r="C27" i="13" s="1"/>
  <c r="D27" i="13" s="1"/>
  <c r="C23" i="74"/>
  <c r="C23" i="13" s="1"/>
  <c r="D23" i="13" s="1"/>
  <c r="C19" i="74"/>
  <c r="C19" i="13" s="1"/>
  <c r="D19" i="13" s="1"/>
  <c r="C15" i="74"/>
  <c r="C15" i="13" s="1"/>
  <c r="D15" i="13" s="1"/>
  <c r="E38" i="7"/>
  <c r="E34" i="7"/>
  <c r="E30" i="7"/>
  <c r="E26" i="7"/>
  <c r="E22" i="7"/>
  <c r="E18" i="7"/>
  <c r="E14" i="7"/>
  <c r="E41" i="7" s="1"/>
  <c r="C38" i="75"/>
  <c r="C34" i="75"/>
  <c r="C30" i="75"/>
  <c r="C26" i="75"/>
  <c r="C22" i="75"/>
  <c r="C18" i="75"/>
  <c r="C14" i="75"/>
  <c r="F41" i="88"/>
  <c r="I40" i="88"/>
  <c r="J40" i="88" s="1"/>
  <c r="I35" i="88"/>
  <c r="J35" i="88" s="1"/>
  <c r="I34" i="88"/>
  <c r="J34" i="88" s="1"/>
  <c r="I33" i="88"/>
  <c r="J33" i="88" s="1"/>
  <c r="I32" i="88"/>
  <c r="J32" i="88" s="1"/>
  <c r="I31" i="88"/>
  <c r="J31" i="88" s="1"/>
  <c r="I30" i="88"/>
  <c r="J30" i="88" s="1"/>
  <c r="Q28" i="88"/>
  <c r="R28" i="88" s="1"/>
  <c r="S28" i="88" s="1"/>
  <c r="I26" i="88"/>
  <c r="J26" i="88" s="1"/>
  <c r="I25" i="88"/>
  <c r="J25" i="88" s="1"/>
  <c r="I24" i="88"/>
  <c r="I41" i="88" s="1"/>
  <c r="Q23" i="88"/>
  <c r="Q41" i="88" s="1"/>
  <c r="J19" i="88"/>
  <c r="J18" i="88"/>
  <c r="L15" i="88"/>
  <c r="L41" i="88" s="1"/>
  <c r="M15" i="88"/>
  <c r="D34" i="13"/>
  <c r="E34" i="13"/>
  <c r="D30" i="13"/>
  <c r="E30" i="13"/>
  <c r="D26" i="13"/>
  <c r="E26" i="13"/>
  <c r="D22" i="13"/>
  <c r="E22" i="13"/>
  <c r="D18" i="13"/>
  <c r="E18" i="13"/>
  <c r="D14" i="13"/>
  <c r="E14" i="13"/>
  <c r="S38" i="88"/>
  <c r="S22" i="88"/>
  <c r="S19" i="88"/>
  <c r="M19" i="88"/>
  <c r="M18" i="88"/>
  <c r="M17" i="88"/>
  <c r="M16" i="88"/>
  <c r="J39" i="117"/>
  <c r="S16" i="96"/>
  <c r="V16" i="96" s="1"/>
  <c r="C33" i="133"/>
  <c r="C34" i="103"/>
  <c r="F34" i="103" s="1"/>
  <c r="C29" i="133"/>
  <c r="C30" i="103"/>
  <c r="F30" i="103" s="1"/>
  <c r="C25" i="133"/>
  <c r="C26" i="103"/>
  <c r="F26" i="103" s="1"/>
  <c r="C21" i="133"/>
  <c r="C22" i="103"/>
  <c r="F22" i="103" s="1"/>
  <c r="C17" i="133"/>
  <c r="C18" i="103"/>
  <c r="F18" i="103" s="1"/>
  <c r="C13" i="133"/>
  <c r="C14" i="103"/>
  <c r="F14" i="103" s="1"/>
  <c r="C9" i="133"/>
  <c r="C10" i="103"/>
  <c r="C32" i="141"/>
  <c r="D32" i="141" s="1"/>
  <c r="E32" i="133"/>
  <c r="C28" i="141"/>
  <c r="D28" i="141" s="1"/>
  <c r="E28" i="133"/>
  <c r="C24" i="141"/>
  <c r="D24" i="141" s="1"/>
  <c r="E24" i="133"/>
  <c r="C20" i="141"/>
  <c r="D20" i="141" s="1"/>
  <c r="E20" i="133"/>
  <c r="C16" i="141"/>
  <c r="D16" i="141" s="1"/>
  <c r="E16" i="133"/>
  <c r="C12" i="141"/>
  <c r="D12" i="141" s="1"/>
  <c r="E12" i="133"/>
  <c r="R18" i="88"/>
  <c r="S18" i="88" s="1"/>
  <c r="Q15" i="88"/>
  <c r="R15" i="88" s="1"/>
  <c r="S15" i="88" s="1"/>
  <c r="J14" i="88"/>
  <c r="M37" i="114"/>
  <c r="M36" i="114"/>
  <c r="M35" i="114"/>
  <c r="M34" i="114"/>
  <c r="M33" i="114"/>
  <c r="I31" i="114"/>
  <c r="J31" i="114" s="1"/>
  <c r="Q29" i="114"/>
  <c r="R29" i="114" s="1"/>
  <c r="S29" i="114" s="1"/>
  <c r="Q28" i="114"/>
  <c r="R28" i="114" s="1"/>
  <c r="S28" i="114" s="1"/>
  <c r="J27" i="114"/>
  <c r="I26" i="114"/>
  <c r="J26" i="114" s="1"/>
  <c r="Q23" i="114"/>
  <c r="R23" i="114" s="1"/>
  <c r="S23" i="114" s="1"/>
  <c r="J22" i="114"/>
  <c r="M21" i="114"/>
  <c r="Q18" i="114"/>
  <c r="R18" i="114" s="1"/>
  <c r="J17" i="114"/>
  <c r="J16" i="114"/>
  <c r="J15" i="114"/>
  <c r="J13" i="114"/>
  <c r="Q39" i="114"/>
  <c r="I38" i="114"/>
  <c r="J38" i="114" s="1"/>
  <c r="M32" i="114"/>
  <c r="J29" i="114"/>
  <c r="J28" i="114"/>
  <c r="M27" i="114"/>
  <c r="J23" i="114"/>
  <c r="M22" i="114"/>
  <c r="Q19" i="114"/>
  <c r="R19" i="114" s="1"/>
  <c r="J18" i="114"/>
  <c r="M17" i="114"/>
  <c r="M16" i="114"/>
  <c r="M15" i="114"/>
  <c r="M40" i="114" s="1"/>
  <c r="M14" i="114"/>
  <c r="I13" i="114"/>
  <c r="S36" i="114"/>
  <c r="Q26" i="114"/>
  <c r="R26" i="114" s="1"/>
  <c r="H17" i="14"/>
  <c r="H25" i="14" s="1"/>
  <c r="F40" i="114"/>
  <c r="G40" i="114"/>
  <c r="G41" i="88"/>
  <c r="G38" i="47"/>
  <c r="C21" i="141"/>
  <c r="D21" i="141" s="1"/>
  <c r="C33" i="141"/>
  <c r="D33" i="141" s="1"/>
  <c r="C25" i="141"/>
  <c r="D25" i="141" s="1"/>
  <c r="C17" i="141"/>
  <c r="D17" i="141" s="1"/>
  <c r="C9" i="141"/>
  <c r="C29" i="141"/>
  <c r="D29" i="141" s="1"/>
  <c r="C13" i="141"/>
  <c r="D13" i="141" s="1"/>
  <c r="C35" i="141"/>
  <c r="D35" i="141" s="1"/>
  <c r="C31" i="141"/>
  <c r="D31" i="141" s="1"/>
  <c r="C27" i="141"/>
  <c r="D27" i="141" s="1"/>
  <c r="C23" i="141"/>
  <c r="D23" i="141" s="1"/>
  <c r="C19" i="141"/>
  <c r="D19" i="141" s="1"/>
  <c r="C15" i="141"/>
  <c r="D15" i="141" s="1"/>
  <c r="C11" i="141"/>
  <c r="D11" i="141" s="1"/>
  <c r="D9" i="141"/>
  <c r="G38" i="60"/>
  <c r="G26" i="14"/>
  <c r="H12" i="14"/>
  <c r="H16" i="14" s="1"/>
  <c r="H26" i="14" s="1"/>
  <c r="K40" i="75"/>
  <c r="K41" i="7"/>
  <c r="R35" i="114"/>
  <c r="S35" i="114" s="1"/>
  <c r="R31" i="114"/>
  <c r="S31" i="114" s="1"/>
  <c r="R27" i="114"/>
  <c r="S27" i="114" s="1"/>
  <c r="R15" i="114"/>
  <c r="S15" i="114" s="1"/>
  <c r="S38" i="114"/>
  <c r="S34" i="114"/>
  <c r="S30" i="114"/>
  <c r="S22" i="114"/>
  <c r="S14" i="114"/>
  <c r="P40" i="114"/>
  <c r="S13" i="114"/>
  <c r="P41" i="88"/>
  <c r="S36" i="88"/>
  <c r="S32" i="88"/>
  <c r="S16" i="88"/>
  <c r="S37" i="88"/>
  <c r="S33" i="88"/>
  <c r="S29" i="88"/>
  <c r="S25" i="88"/>
  <c r="S21" i="88"/>
  <c r="S17" i="88"/>
  <c r="S14" i="88"/>
  <c r="K40" i="86"/>
  <c r="G34" i="86"/>
  <c r="G22" i="86"/>
  <c r="G38" i="86"/>
  <c r="G29" i="86"/>
  <c r="G18" i="86"/>
  <c r="G37" i="86"/>
  <c r="G30" i="86"/>
  <c r="G13" i="86"/>
  <c r="G26" i="86"/>
  <c r="G21" i="86"/>
  <c r="F40" i="86"/>
  <c r="G14" i="86"/>
  <c r="G33" i="86"/>
  <c r="G25" i="86"/>
  <c r="G17" i="86"/>
  <c r="L38" i="47"/>
  <c r="L35" i="60"/>
  <c r="F21" i="96"/>
  <c r="F27" i="96" s="1"/>
  <c r="G39" i="16"/>
  <c r="I36" i="13"/>
  <c r="I33" i="13"/>
  <c r="I20" i="13"/>
  <c r="I17" i="13"/>
  <c r="I37" i="13"/>
  <c r="I24" i="13"/>
  <c r="I21" i="13"/>
  <c r="I28" i="13"/>
  <c r="I25" i="13"/>
  <c r="I32" i="13"/>
  <c r="I29" i="13"/>
  <c r="I16" i="13"/>
  <c r="G36" i="86"/>
  <c r="G32" i="86"/>
  <c r="G28" i="86"/>
  <c r="G24" i="86"/>
  <c r="G20" i="86"/>
  <c r="G16" i="86"/>
  <c r="C39" i="13"/>
  <c r="E13" i="13"/>
  <c r="I13" i="13" s="1"/>
  <c r="E12" i="13"/>
  <c r="E35" i="13"/>
  <c r="I35" i="13" s="1"/>
  <c r="E31" i="13"/>
  <c r="I31" i="13" s="1"/>
  <c r="E27" i="13"/>
  <c r="I27" i="13" s="1"/>
  <c r="E23" i="13"/>
  <c r="I23" i="13" s="1"/>
  <c r="E19" i="13"/>
  <c r="I19" i="13" s="1"/>
  <c r="E15" i="13"/>
  <c r="L24" i="60"/>
  <c r="L26" i="60"/>
  <c r="L30" i="60"/>
  <c r="L36" i="60"/>
  <c r="L34" i="60"/>
  <c r="L37" i="60"/>
  <c r="L28" i="60"/>
  <c r="L25" i="60"/>
  <c r="L15" i="60"/>
  <c r="K38" i="60"/>
  <c r="L11" i="60"/>
  <c r="L22" i="60"/>
  <c r="L20" i="60"/>
  <c r="L33" i="60"/>
  <c r="L29" i="60"/>
  <c r="L27" i="60"/>
  <c r="L16" i="60"/>
  <c r="L14" i="60"/>
  <c r="L19" i="60"/>
  <c r="L21" i="60"/>
  <c r="L13" i="60"/>
  <c r="L12" i="60"/>
  <c r="L32" i="60"/>
  <c r="L31" i="60"/>
  <c r="L17" i="60"/>
  <c r="J24" i="88" l="1"/>
  <c r="M41" i="88"/>
  <c r="D26" i="75"/>
  <c r="E26" i="75" s="1"/>
  <c r="D14" i="75"/>
  <c r="D40" i="75" s="1"/>
  <c r="D30" i="75"/>
  <c r="E30" i="75" s="1"/>
  <c r="C40" i="75"/>
  <c r="C27" i="96"/>
  <c r="S27" i="96" s="1"/>
  <c r="S21" i="96"/>
  <c r="V21" i="96" s="1"/>
  <c r="S39" i="114"/>
  <c r="R39" i="114"/>
  <c r="R40" i="114" s="1"/>
  <c r="S26" i="114"/>
  <c r="J40" i="114"/>
  <c r="I40" i="114"/>
  <c r="D18" i="75"/>
  <c r="E18" i="75" s="1"/>
  <c r="D34" i="75"/>
  <c r="E34" i="75" s="1"/>
  <c r="C39" i="74"/>
  <c r="C36" i="133"/>
  <c r="J41" i="88"/>
  <c r="F10" i="103"/>
  <c r="F37" i="103" s="1"/>
  <c r="C37" i="103"/>
  <c r="S23" i="88"/>
  <c r="S41" i="88" s="1"/>
  <c r="R23" i="88"/>
  <c r="R41" i="88" s="1"/>
  <c r="S18" i="114"/>
  <c r="D22" i="75"/>
  <c r="E22" i="75" s="1"/>
  <c r="D38" i="75"/>
  <c r="E38" i="75" s="1"/>
  <c r="Q40" i="114"/>
  <c r="E13" i="75"/>
  <c r="T27" i="96"/>
  <c r="D39" i="13"/>
  <c r="D36" i="141"/>
  <c r="C36" i="141"/>
  <c r="S19" i="114"/>
  <c r="S40" i="114"/>
  <c r="H39" i="13"/>
  <c r="I15" i="13"/>
  <c r="G40" i="86"/>
  <c r="E39" i="13"/>
  <c r="I18" i="13"/>
  <c r="I34" i="13"/>
  <c r="I22" i="13"/>
  <c r="I38" i="13"/>
  <c r="I26" i="13"/>
  <c r="I12" i="13"/>
  <c r="I14" i="13"/>
  <c r="I30" i="13"/>
  <c r="L23" i="60"/>
  <c r="I38" i="60"/>
  <c r="V27" i="96" l="1"/>
  <c r="E14" i="75"/>
  <c r="E40" i="75" s="1"/>
  <c r="I39" i="13"/>
  <c r="L38" i="60"/>
  <c r="M38" i="60" l="1"/>
  <c r="O38" i="60"/>
  <c r="N38" i="60"/>
  <c r="P38" i="60"/>
  <c r="Q11" i="60"/>
  <c r="Q12" i="60"/>
  <c r="L15" i="7" s="1"/>
  <c r="Q13" i="60"/>
  <c r="Q14" i="60"/>
  <c r="Q15" i="60"/>
  <c r="Q16" i="60"/>
  <c r="Q17" i="60"/>
  <c r="Q18" i="60"/>
  <c r="Q19" i="60"/>
  <c r="Q20" i="60"/>
  <c r="L23" i="7" s="1"/>
  <c r="Q21" i="60"/>
  <c r="Q22" i="60"/>
  <c r="L25" i="7" s="1"/>
  <c r="Q23" i="60"/>
  <c r="Q24" i="60"/>
  <c r="H25" i="4" s="1"/>
  <c r="Q25" i="60"/>
  <c r="Q26" i="60"/>
  <c r="Q27" i="60"/>
  <c r="Q28" i="60"/>
  <c r="H29" i="4" s="1"/>
  <c r="J29" i="4" s="1"/>
  <c r="Q29" i="60"/>
  <c r="Q30" i="60"/>
  <c r="Q31" i="60"/>
  <c r="Q32" i="60"/>
  <c r="Q33" i="60"/>
  <c r="Q34" i="60"/>
  <c r="H35" i="4" s="1"/>
  <c r="Q35" i="60"/>
  <c r="Q36" i="60"/>
  <c r="L39" i="7" s="1"/>
  <c r="Q37" i="60"/>
  <c r="F29" i="5" l="1"/>
  <c r="H21" i="4"/>
  <c r="J21" i="4" s="1"/>
  <c r="L35" i="7"/>
  <c r="H22" i="4"/>
  <c r="L24" i="7"/>
  <c r="J25" i="4"/>
  <c r="F25" i="5"/>
  <c r="L38" i="7"/>
  <c r="H36" i="4"/>
  <c r="H30" i="4"/>
  <c r="L32" i="7"/>
  <c r="L20" i="7"/>
  <c r="H18" i="4"/>
  <c r="J35" i="4"/>
  <c r="F35" i="5"/>
  <c r="H32" i="4"/>
  <c r="L34" i="7"/>
  <c r="L30" i="7"/>
  <c r="H28" i="4"/>
  <c r="H24" i="4"/>
  <c r="L26" i="7"/>
  <c r="L22" i="7"/>
  <c r="H20" i="4"/>
  <c r="H16" i="4"/>
  <c r="L18" i="7"/>
  <c r="H26" i="4"/>
  <c r="L28" i="7"/>
  <c r="L16" i="7"/>
  <c r="H14" i="4"/>
  <c r="H38" i="4"/>
  <c r="L40" i="7"/>
  <c r="L36" i="7"/>
  <c r="H34" i="4"/>
  <c r="L14" i="7"/>
  <c r="H12" i="4"/>
  <c r="Q38" i="60"/>
  <c r="M25" i="7"/>
  <c r="P25" i="7" s="1"/>
  <c r="O25" i="7"/>
  <c r="G29" i="5"/>
  <c r="F21" i="5"/>
  <c r="L31" i="7"/>
  <c r="O35" i="7"/>
  <c r="O39" i="7"/>
  <c r="M39" i="7"/>
  <c r="P39" i="7" s="1"/>
  <c r="L37" i="7"/>
  <c r="H33" i="4"/>
  <c r="L33" i="7"/>
  <c r="H27" i="4"/>
  <c r="L29" i="7"/>
  <c r="H23" i="4"/>
  <c r="M23" i="7"/>
  <c r="O23" i="7"/>
  <c r="L21" i="7"/>
  <c r="H19" i="4"/>
  <c r="L19" i="7"/>
  <c r="H17" i="4"/>
  <c r="H15" i="4"/>
  <c r="L17" i="7"/>
  <c r="O15" i="7"/>
  <c r="M15" i="7"/>
  <c r="P15" i="7" s="1"/>
  <c r="L27" i="7"/>
  <c r="H37" i="4"/>
  <c r="H13" i="4"/>
  <c r="H31" i="4"/>
  <c r="M35" i="7"/>
  <c r="P35" i="7" s="1"/>
  <c r="N39" i="7" l="1"/>
  <c r="N35" i="7"/>
  <c r="N15" i="7"/>
  <c r="Q35" i="7"/>
  <c r="F17" i="5"/>
  <c r="J17" i="4"/>
  <c r="O19" i="7"/>
  <c r="M19" i="7"/>
  <c r="P19" i="7" s="1"/>
  <c r="O37" i="7"/>
  <c r="M37" i="7"/>
  <c r="P37" i="7" s="1"/>
  <c r="F38" i="5"/>
  <c r="J38" i="4"/>
  <c r="F18" i="5"/>
  <c r="J18" i="4"/>
  <c r="F30" i="5"/>
  <c r="J30" i="4"/>
  <c r="F31" i="5"/>
  <c r="J31" i="4"/>
  <c r="J15" i="4"/>
  <c r="F15" i="5"/>
  <c r="J27" i="4"/>
  <c r="F27" i="5"/>
  <c r="M31" i="7"/>
  <c r="P31" i="7" s="1"/>
  <c r="O31" i="7"/>
  <c r="O36" i="7"/>
  <c r="M36" i="7"/>
  <c r="P36" i="7" s="1"/>
  <c r="O28" i="7"/>
  <c r="M28" i="7"/>
  <c r="P28" i="7" s="1"/>
  <c r="J26" i="4"/>
  <c r="F26" i="5"/>
  <c r="J16" i="4"/>
  <c r="F16" i="5"/>
  <c r="O30" i="7"/>
  <c r="M30" i="7"/>
  <c r="P30" i="7" s="1"/>
  <c r="O34" i="7"/>
  <c r="M34" i="7"/>
  <c r="P34" i="7" s="1"/>
  <c r="G35" i="5"/>
  <c r="O20" i="7"/>
  <c r="M20" i="7"/>
  <c r="P20" i="7" s="1"/>
  <c r="O24" i="7"/>
  <c r="M24" i="7"/>
  <c r="P24" i="7" s="1"/>
  <c r="F37" i="5"/>
  <c r="J37" i="4"/>
  <c r="M17" i="7"/>
  <c r="P17" i="7" s="1"/>
  <c r="O17" i="7"/>
  <c r="M21" i="7"/>
  <c r="P21" i="7" s="1"/>
  <c r="O21" i="7"/>
  <c r="J23" i="4"/>
  <c r="F23" i="5"/>
  <c r="L41" i="7"/>
  <c r="O14" i="7"/>
  <c r="M14" i="7"/>
  <c r="N14" i="7" s="1"/>
  <c r="J34" i="4"/>
  <c r="F34" i="5"/>
  <c r="O18" i="7"/>
  <c r="M18" i="7"/>
  <c r="P18" i="7" s="1"/>
  <c r="O22" i="7"/>
  <c r="M22" i="7"/>
  <c r="P22" i="7" s="1"/>
  <c r="J32" i="4"/>
  <c r="F32" i="5"/>
  <c r="F36" i="5"/>
  <c r="J36" i="4"/>
  <c r="M27" i="7"/>
  <c r="P27" i="7" s="1"/>
  <c r="O27" i="7"/>
  <c r="N27" i="7"/>
  <c r="F13" i="5"/>
  <c r="J13" i="4"/>
  <c r="Q15" i="7"/>
  <c r="F19" i="5"/>
  <c r="J19" i="4"/>
  <c r="P23" i="7"/>
  <c r="Q23" i="7" s="1"/>
  <c r="N23" i="7"/>
  <c r="O33" i="7"/>
  <c r="M33" i="7"/>
  <c r="P33" i="7" s="1"/>
  <c r="J33" i="4"/>
  <c r="F33" i="5"/>
  <c r="Q39" i="7"/>
  <c r="G21" i="5"/>
  <c r="N25" i="7"/>
  <c r="J14" i="4"/>
  <c r="F14" i="5"/>
  <c r="O26" i="7"/>
  <c r="M26" i="7"/>
  <c r="P26" i="7" s="1"/>
  <c r="M38" i="7"/>
  <c r="P38" i="7" s="1"/>
  <c r="O38" i="7"/>
  <c r="O29" i="7"/>
  <c r="M29" i="7"/>
  <c r="P29" i="7" s="1"/>
  <c r="Q25" i="7"/>
  <c r="J12" i="4"/>
  <c r="F12" i="5"/>
  <c r="H39" i="4"/>
  <c r="M40" i="7"/>
  <c r="P40" i="7" s="1"/>
  <c r="O40" i="7"/>
  <c r="M16" i="7"/>
  <c r="P16" i="7" s="1"/>
  <c r="O16" i="7"/>
  <c r="F20" i="5"/>
  <c r="J20" i="4"/>
  <c r="F24" i="5"/>
  <c r="J24" i="4"/>
  <c r="F28" i="5"/>
  <c r="J28" i="4"/>
  <c r="O32" i="7"/>
  <c r="M32" i="7"/>
  <c r="P32" i="7" s="1"/>
  <c r="G25" i="5"/>
  <c r="F22" i="5"/>
  <c r="J22" i="4"/>
  <c r="N22" i="7" l="1"/>
  <c r="N20" i="7"/>
  <c r="N32" i="7"/>
  <c r="Q40" i="7"/>
  <c r="Q28" i="7"/>
  <c r="Q33" i="7"/>
  <c r="N33" i="7"/>
  <c r="Q21" i="7"/>
  <c r="N16" i="7"/>
  <c r="Q26" i="7"/>
  <c r="N18" i="7"/>
  <c r="N17" i="7"/>
  <c r="N31" i="7"/>
  <c r="Q38" i="7"/>
  <c r="N29" i="7"/>
  <c r="Q24" i="7"/>
  <c r="N30" i="7"/>
  <c r="N19" i="7"/>
  <c r="Q29" i="7"/>
  <c r="Q17" i="7"/>
  <c r="N24" i="7"/>
  <c r="Q19" i="7"/>
  <c r="G13" i="5"/>
  <c r="G30" i="5"/>
  <c r="G38" i="5"/>
  <c r="N37" i="7"/>
  <c r="G33" i="5"/>
  <c r="G19" i="5"/>
  <c r="G22" i="5"/>
  <c r="G36" i="5"/>
  <c r="Q32" i="7"/>
  <c r="G24" i="5"/>
  <c r="Q16" i="7"/>
  <c r="N40" i="7"/>
  <c r="N26" i="7"/>
  <c r="G14" i="5"/>
  <c r="Q27" i="7"/>
  <c r="G32" i="5"/>
  <c r="Q18" i="7"/>
  <c r="M41" i="7"/>
  <c r="P14" i="7"/>
  <c r="P41" i="7" s="1"/>
  <c r="N21" i="7"/>
  <c r="Q20" i="7"/>
  <c r="Q34" i="7"/>
  <c r="Q30" i="7"/>
  <c r="G16" i="5"/>
  <c r="N28" i="7"/>
  <c r="N36" i="7"/>
  <c r="G27" i="5"/>
  <c r="G15" i="5"/>
  <c r="Q37" i="7"/>
  <c r="G28" i="5"/>
  <c r="G20" i="5"/>
  <c r="F39" i="5"/>
  <c r="G12" i="5"/>
  <c r="G37" i="5"/>
  <c r="G26" i="5"/>
  <c r="J39" i="4"/>
  <c r="N38" i="7"/>
  <c r="Q22" i="7"/>
  <c r="G34" i="5"/>
  <c r="O41" i="7"/>
  <c r="G23" i="5"/>
  <c r="N34" i="7"/>
  <c r="Q36" i="7"/>
  <c r="Q31" i="7"/>
  <c r="G31" i="5"/>
  <c r="G18" i="5"/>
  <c r="G17" i="5"/>
  <c r="Q14" i="7" l="1"/>
  <c r="Q41" i="7" s="1"/>
  <c r="N41" i="7"/>
  <c r="G39" i="5"/>
  <c r="O38" i="47"/>
  <c r="P38" i="47"/>
  <c r="N38" i="47"/>
  <c r="M38" i="47"/>
  <c r="Q11" i="47"/>
  <c r="H12" i="111" s="1"/>
  <c r="F12" i="74" s="1"/>
  <c r="G12" i="74" s="1"/>
  <c r="Q12" i="47"/>
  <c r="Q13" i="47"/>
  <c r="H14" i="111" s="1"/>
  <c r="Q14" i="47"/>
  <c r="L16" i="75" s="1"/>
  <c r="O16" i="75" s="1"/>
  <c r="Q15" i="47"/>
  <c r="Q16" i="47"/>
  <c r="L18" i="75" s="1"/>
  <c r="Q17" i="47"/>
  <c r="H18" i="111" s="1"/>
  <c r="J18" i="111" s="1"/>
  <c r="Q18" i="47"/>
  <c r="Q19" i="47"/>
  <c r="L21" i="75" s="1"/>
  <c r="Q20" i="47"/>
  <c r="Q21" i="47"/>
  <c r="Q22" i="47"/>
  <c r="H23" i="111" s="1"/>
  <c r="Q23" i="47"/>
  <c r="Q24" i="47"/>
  <c r="Q25" i="47"/>
  <c r="H26" i="111" s="1"/>
  <c r="Q26" i="47"/>
  <c r="L28" i="75" s="1"/>
  <c r="M28" i="75" s="1"/>
  <c r="P28" i="75" s="1"/>
  <c r="Q27" i="47"/>
  <c r="H28" i="111" s="1"/>
  <c r="J28" i="111" s="1"/>
  <c r="Q28" i="47"/>
  <c r="Q29" i="47"/>
  <c r="L31" i="75" s="1"/>
  <c r="O31" i="75" s="1"/>
  <c r="Q30" i="47"/>
  <c r="Q31" i="47"/>
  <c r="Q32" i="47"/>
  <c r="L34" i="75" s="1"/>
  <c r="Q33" i="47"/>
  <c r="H34" i="111" s="1"/>
  <c r="J34" i="111" s="1"/>
  <c r="Q34" i="47"/>
  <c r="L36" i="75" s="1"/>
  <c r="Q35" i="47"/>
  <c r="H36" i="111" s="1"/>
  <c r="J36" i="111" s="1"/>
  <c r="Q36" i="47"/>
  <c r="Q37" i="47"/>
  <c r="M31" i="75" l="1"/>
  <c r="P31" i="75" s="1"/>
  <c r="Q31" i="75" s="1"/>
  <c r="F18" i="74"/>
  <c r="G18" i="74" s="1"/>
  <c r="Q38" i="47"/>
  <c r="F34" i="74"/>
  <c r="G34" i="74" s="1"/>
  <c r="L27" i="75"/>
  <c r="M27" i="75" s="1"/>
  <c r="P27" i="75" s="1"/>
  <c r="L37" i="75"/>
  <c r="J23" i="111"/>
  <c r="F23" i="74"/>
  <c r="G23" i="74" s="1"/>
  <c r="O36" i="75"/>
  <c r="M36" i="75"/>
  <c r="P36" i="75" s="1"/>
  <c r="O18" i="75"/>
  <c r="M18" i="75"/>
  <c r="P18" i="75" s="1"/>
  <c r="O21" i="75"/>
  <c r="M21" i="75"/>
  <c r="P21" i="75" s="1"/>
  <c r="F14" i="74"/>
  <c r="G14" i="74" s="1"/>
  <c r="J14" i="111"/>
  <c r="H38" i="111"/>
  <c r="L39" i="75"/>
  <c r="H32" i="111"/>
  <c r="L33" i="75"/>
  <c r="J26" i="111"/>
  <c r="F26" i="74"/>
  <c r="G26" i="74" s="1"/>
  <c r="H24" i="111"/>
  <c r="L25" i="75"/>
  <c r="H22" i="111"/>
  <c r="L23" i="75"/>
  <c r="H20" i="111"/>
  <c r="H16" i="111"/>
  <c r="L17" i="75"/>
  <c r="L15" i="75"/>
  <c r="J12" i="111"/>
  <c r="L13" i="75"/>
  <c r="L19" i="75"/>
  <c r="H15" i="111"/>
  <c r="F28" i="74"/>
  <c r="G28" i="74" s="1"/>
  <c r="N28" i="75"/>
  <c r="O28" i="75"/>
  <c r="Q28" i="75" s="1"/>
  <c r="O34" i="75"/>
  <c r="M34" i="75"/>
  <c r="P34" i="75" s="1"/>
  <c r="O37" i="75"/>
  <c r="M37" i="75"/>
  <c r="P37" i="75" s="1"/>
  <c r="H37" i="111"/>
  <c r="L38" i="75"/>
  <c r="H35" i="111"/>
  <c r="H33" i="111"/>
  <c r="L32" i="75"/>
  <c r="H31" i="111"/>
  <c r="H29" i="111"/>
  <c r="L30" i="75"/>
  <c r="H27" i="111"/>
  <c r="H25" i="111"/>
  <c r="L24" i="75"/>
  <c r="H21" i="111"/>
  <c r="L22" i="75"/>
  <c r="H19" i="111"/>
  <c r="H17" i="111"/>
  <c r="H13" i="111"/>
  <c r="L14" i="75"/>
  <c r="L20" i="75"/>
  <c r="L26" i="75"/>
  <c r="L29" i="75"/>
  <c r="L35" i="75"/>
  <c r="H30" i="111"/>
  <c r="M16" i="75"/>
  <c r="P16" i="75" s="1"/>
  <c r="Q16" i="75" s="1"/>
  <c r="F36" i="74"/>
  <c r="G36" i="74" s="1"/>
  <c r="N36" i="75" l="1"/>
  <c r="Q36" i="75"/>
  <c r="Q34" i="75"/>
  <c r="O27" i="75"/>
  <c r="Q37" i="75"/>
  <c r="N37" i="75"/>
  <c r="N31" i="75"/>
  <c r="N34" i="75"/>
  <c r="M29" i="75"/>
  <c r="P29" i="75" s="1"/>
  <c r="O29" i="75"/>
  <c r="J19" i="111"/>
  <c r="F19" i="74"/>
  <c r="G19" i="74" s="1"/>
  <c r="J31" i="111"/>
  <c r="F31" i="74"/>
  <c r="G31" i="74" s="1"/>
  <c r="J35" i="111"/>
  <c r="F35" i="74"/>
  <c r="G35" i="74" s="1"/>
  <c r="M15" i="75"/>
  <c r="P15" i="75" s="1"/>
  <c r="O15" i="75"/>
  <c r="J20" i="111"/>
  <c r="F20" i="74"/>
  <c r="G20" i="74" s="1"/>
  <c r="O33" i="75"/>
  <c r="M33" i="75"/>
  <c r="P33" i="75" s="1"/>
  <c r="O26" i="75"/>
  <c r="M26" i="75"/>
  <c r="P26" i="75" s="1"/>
  <c r="O30" i="75"/>
  <c r="M30" i="75"/>
  <c r="P30" i="75" s="1"/>
  <c r="O17" i="75"/>
  <c r="M17" i="75"/>
  <c r="P17" i="75" s="1"/>
  <c r="J24" i="111"/>
  <c r="F24" i="74"/>
  <c r="G24" i="74" s="1"/>
  <c r="J32" i="111"/>
  <c r="F32" i="74"/>
  <c r="G32" i="74" s="1"/>
  <c r="Q21" i="75"/>
  <c r="F30" i="74"/>
  <c r="G30" i="74" s="1"/>
  <c r="J30" i="111"/>
  <c r="O20" i="75"/>
  <c r="M20" i="75"/>
  <c r="P20" i="75" s="1"/>
  <c r="O14" i="75"/>
  <c r="M14" i="75"/>
  <c r="P14" i="75" s="1"/>
  <c r="F17" i="74"/>
  <c r="G17" i="74" s="1"/>
  <c r="J17" i="111"/>
  <c r="O22" i="75"/>
  <c r="M22" i="75"/>
  <c r="P22" i="75" s="1"/>
  <c r="J29" i="111"/>
  <c r="F29" i="74"/>
  <c r="G29" i="74" s="1"/>
  <c r="O32" i="75"/>
  <c r="M32" i="75"/>
  <c r="P32" i="75" s="1"/>
  <c r="N16" i="75"/>
  <c r="J16" i="111"/>
  <c r="F16" i="74"/>
  <c r="G16" i="74" s="1"/>
  <c r="O23" i="75"/>
  <c r="M23" i="75"/>
  <c r="P23" i="75" s="1"/>
  <c r="M39" i="75"/>
  <c r="P39" i="75" s="1"/>
  <c r="O39" i="75"/>
  <c r="Q27" i="75"/>
  <c r="N21" i="75"/>
  <c r="O24" i="75"/>
  <c r="M24" i="75"/>
  <c r="P24" i="75" s="1"/>
  <c r="J25" i="111"/>
  <c r="F25" i="74"/>
  <c r="G25" i="74" s="1"/>
  <c r="O38" i="75"/>
  <c r="M38" i="75"/>
  <c r="P38" i="75" s="1"/>
  <c r="J15" i="111"/>
  <c r="F15" i="74"/>
  <c r="G15" i="74" s="1"/>
  <c r="O25" i="75"/>
  <c r="M25" i="75"/>
  <c r="P25" i="75" s="1"/>
  <c r="F27" i="74"/>
  <c r="G27" i="74" s="1"/>
  <c r="J27" i="111"/>
  <c r="F33" i="74"/>
  <c r="G33" i="74" s="1"/>
  <c r="J33" i="111"/>
  <c r="F37" i="74"/>
  <c r="G37" i="74" s="1"/>
  <c r="J37" i="111"/>
  <c r="O19" i="75"/>
  <c r="M19" i="75"/>
  <c r="P19" i="75" s="1"/>
  <c r="H39" i="111"/>
  <c r="Q18" i="75"/>
  <c r="O35" i="75"/>
  <c r="M35" i="75"/>
  <c r="P35" i="75" s="1"/>
  <c r="J13" i="111"/>
  <c r="F13" i="74"/>
  <c r="F21" i="74"/>
  <c r="G21" i="74" s="1"/>
  <c r="J21" i="111"/>
  <c r="O13" i="75"/>
  <c r="L40" i="75"/>
  <c r="M13" i="75"/>
  <c r="F22" i="74"/>
  <c r="G22" i="74" s="1"/>
  <c r="J22" i="111"/>
  <c r="F38" i="74"/>
  <c r="G38" i="74" s="1"/>
  <c r="J38" i="111"/>
  <c r="N27" i="75"/>
  <c r="N18" i="75"/>
  <c r="N25" i="75" l="1"/>
  <c r="N20" i="75"/>
  <c r="N29" i="75"/>
  <c r="Q35" i="75"/>
  <c r="Q23" i="75"/>
  <c r="Q39" i="75"/>
  <c r="N38" i="75"/>
  <c r="Q33" i="75"/>
  <c r="J39" i="111"/>
  <c r="Q20" i="75"/>
  <c r="N19" i="75"/>
  <c r="Q19" i="75"/>
  <c r="Q32" i="75"/>
  <c r="Q22" i="75"/>
  <c r="N22" i="75"/>
  <c r="N35" i="75"/>
  <c r="Q38" i="75"/>
  <c r="N39" i="75"/>
  <c r="N23" i="75"/>
  <c r="M40" i="75"/>
  <c r="P13" i="75"/>
  <c r="P40" i="75" s="1"/>
  <c r="N15" i="75"/>
  <c r="O40" i="75"/>
  <c r="Q25" i="75"/>
  <c r="N32" i="75"/>
  <c r="Q14" i="75"/>
  <c r="N17" i="75"/>
  <c r="Q30" i="75"/>
  <c r="N33" i="75"/>
  <c r="Q29" i="75"/>
  <c r="Q24" i="75"/>
  <c r="N14" i="75"/>
  <c r="N30" i="75"/>
  <c r="Q26" i="75"/>
  <c r="N13" i="75"/>
  <c r="G13" i="74"/>
  <c r="G39" i="74" s="1"/>
  <c r="F39" i="74"/>
  <c r="N24" i="75"/>
  <c r="Q17" i="75"/>
  <c r="N26" i="75"/>
  <c r="Q15" i="75"/>
  <c r="Q13" i="75" l="1"/>
  <c r="Q40" i="75" s="1"/>
  <c r="N40" i="75"/>
</calcChain>
</file>

<file path=xl/sharedStrings.xml><?xml version="1.0" encoding="utf-8"?>
<sst xmlns="http://schemas.openxmlformats.org/spreadsheetml/2006/main" count="4464" uniqueCount="1196">
  <si>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</si>
  <si>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</si>
  <si>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</si>
  <si>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</si>
  <si>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</si>
  <si>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</si>
  <si>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</si>
  <si>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</si>
  <si>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</si>
  <si>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</si>
  <si>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</si>
  <si>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</si>
  <si>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</si>
  <si>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</si>
  <si>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</si>
  <si>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</si>
  <si>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</si>
  <si>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</si>
  <si>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</si>
  <si>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</si>
  <si>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</si>
  <si>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</si>
  <si>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</si>
  <si>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</si>
  <si>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</si>
  <si>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</si>
  <si>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</si>
  <si>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</si>
  <si>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</si>
  <si>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</si>
  <si>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</si>
  <si>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</si>
  <si>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</si>
  <si>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</si>
  <si>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</si>
  <si>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</si>
  <si>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</si>
  <si>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</si>
  <si>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</si>
  <si>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</si>
  <si>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</si>
  <si>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</si>
  <si>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</si>
  <si>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</si>
  <si>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</si>
  <si>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</si>
  <si>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</si>
  <si>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</si>
  <si>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</si>
  <si>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</si>
  <si>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</si>
  <si>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</si>
  <si>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</si>
  <si>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</si>
  <si>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</si>
  <si>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</si>
  <si>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</si>
  <si>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</si>
  <si>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</si>
  <si>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</si>
  <si>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</si>
  <si>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</si>
  <si>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</si>
  <si>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</si>
  <si>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</si>
  <si>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</si>
  <si>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</si>
  <si>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</si>
  <si>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</si>
  <si>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</si>
  <si>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</si>
  <si>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</si>
  <si>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</si>
  <si>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</si>
  <si>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</si>
  <si>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</si>
  <si>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</si>
  <si>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</si>
  <si>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</si>
  <si>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</si>
  <si>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</si>
  <si>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</si>
  <si>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</si>
  <si>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</si>
  <si>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</si>
  <si>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</si>
  <si>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</si>
  <si>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</si>
  <si>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</si>
  <si>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</si>
  <si>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</si>
  <si>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</si>
  <si>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</si>
  <si>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</si>
  <si>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</si>
  <si>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</si>
  <si>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</si>
  <si>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</si>
  <si>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</si>
  <si>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</si>
  <si>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</si>
  <si>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</si>
  <si>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</si>
  <si>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</si>
  <si>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</si>
  <si>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</si>
  <si>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</si>
  <si>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</si>
  <si>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</si>
  <si>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</si>
  <si>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</si>
  <si>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</si>
  <si>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</si>
  <si>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</si>
  <si>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</si>
  <si>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</si>
  <si>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</si>
  <si>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</si>
  <si>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</si>
  <si>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</si>
  <si>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</si>
  <si>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</si>
  <si>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</si>
  <si>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</si>
  <si>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</si>
  <si>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</si>
  <si>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</si>
  <si>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</si>
  <si>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</si>
  <si>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</si>
  <si>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</si>
  <si>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</si>
  <si>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</si>
  <si>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</si>
  <si>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</si>
  <si>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</si>
  <si>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</si>
  <si>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</si>
  <si>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</si>
  <si>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</si>
  <si>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</si>
  <si>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</si>
  <si>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</si>
  <si>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</si>
  <si>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</si>
  <si>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</si>
  <si>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</si>
  <si>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</si>
  <si>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</si>
  <si>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</si>
  <si>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</si>
  <si>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</si>
  <si>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</si>
  <si>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</si>
  <si>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</si>
  <si>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</si>
  <si>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</si>
  <si>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</si>
  <si>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</si>
  <si>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</si>
  <si>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</si>
  <si>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</si>
  <si>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</si>
  <si>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</si>
  <si>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</si>
  <si>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</si>
  <si>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</si>
  <si>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</si>
  <si>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</si>
  <si>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</si>
  <si>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</si>
  <si>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</si>
  <si>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</si>
  <si>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</si>
  <si>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</si>
  <si>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</si>
  <si>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</si>
  <si>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</si>
  <si>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</si>
  <si>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</si>
  <si>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</si>
  <si>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</si>
  <si>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</si>
  <si>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</si>
  <si>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</si>
  <si>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</si>
  <si>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</si>
  <si>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</si>
  <si>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</si>
  <si>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</si>
  <si>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</si>
  <si>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</si>
  <si>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</si>
  <si>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</si>
  <si>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</si>
  <si>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</si>
  <si>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</si>
  <si>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</si>
  <si>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</si>
  <si>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</si>
  <si>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</si>
  <si>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</si>
  <si>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</si>
  <si>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</si>
  <si>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</si>
  <si>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</si>
  <si>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</si>
  <si>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</si>
  <si>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</si>
  <si>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</si>
  <si>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</si>
  <si>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</si>
  <si>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</si>
  <si>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</si>
  <si>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</si>
  <si>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</si>
  <si>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</si>
  <si>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</si>
  <si>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</si>
  <si>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</si>
  <si>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</si>
  <si>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</si>
  <si>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</si>
  <si>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</si>
  <si>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</si>
  <si>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</si>
  <si>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</si>
  <si>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</si>
  <si>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</si>
  <si>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</si>
  <si>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</si>
  <si>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</si>
  <si>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</si>
  <si>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</si>
  <si>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</si>
  <si>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</si>
  <si>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</si>
  <si>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</si>
  <si>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</si>
  <si>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</si>
  <si>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</si>
  <si>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</si>
  <si>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</si>
  <si>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</si>
  <si>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</si>
  <si>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</si>
  <si>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</si>
  <si>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</si>
  <si>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</si>
  <si>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</si>
  <si>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</si>
  <si>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</si>
  <si>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</si>
  <si>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</si>
  <si>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</si>
  <si>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</si>
  <si>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</si>
  <si>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</si>
  <si>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</si>
  <si>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</si>
  <si>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</si>
  <si>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</si>
  <si>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</si>
  <si>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</si>
  <si>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</si>
  <si>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</si>
  <si>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</si>
  <si>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</si>
  <si>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</si>
  <si>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</si>
  <si>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</si>
  <si>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</si>
  <si>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</si>
  <si>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</si>
  <si>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</si>
  <si>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</si>
  <si>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</si>
  <si>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</si>
  <si>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</si>
  <si>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</si>
  <si>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</si>
  <si>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</si>
  <si>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</si>
  <si>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</si>
  <si>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</si>
  <si>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</si>
  <si>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</si>
  <si>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</si>
  <si>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</si>
  <si>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</si>
  <si>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</si>
  <si>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</si>
  <si>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</si>
  <si>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</si>
  <si>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</si>
  <si>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</si>
  <si>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</si>
  <si>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</si>
  <si>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</si>
  <si>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</si>
  <si>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</si>
  <si>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</si>
  <si>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</si>
  <si>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</si>
  <si>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</si>
  <si>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</si>
  <si>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</si>
  <si>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</si>
  <si>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</si>
  <si>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</si>
  <si>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</si>
  <si>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</si>
  <si>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</si>
  <si>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</si>
  <si>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</si>
  <si>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</si>
  <si>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</si>
  <si>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</si>
  <si>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</si>
  <si>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</si>
  <si>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</si>
  <si>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</si>
  <si>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</si>
  <si>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</si>
  <si>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</si>
  <si>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</si>
  <si>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</si>
  <si>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</si>
  <si>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</si>
  <si>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</si>
  <si>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</si>
  <si>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</si>
  <si>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</si>
  <si>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</si>
  <si>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</si>
  <si>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</si>
  <si>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</si>
  <si>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</si>
  <si>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</si>
  <si>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</si>
  <si>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</si>
  <si>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</si>
  <si>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</si>
  <si>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</si>
  <si>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</si>
  <si>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</si>
  <si>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</si>
  <si>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</si>
  <si>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</si>
  <si>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</si>
  <si>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</si>
  <si>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</si>
  <si>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</si>
  <si>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</si>
  <si>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</si>
  <si>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</si>
  <si>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</si>
  <si>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</si>
  <si>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</si>
  <si>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</si>
  <si>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</si>
  <si>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</si>
  <si>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</si>
  <si>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</si>
  <si>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</si>
  <si>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</si>
  <si>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</si>
  <si>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</si>
  <si>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</si>
  <si>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</si>
  <si>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</si>
  <si>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</si>
  <si>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</si>
  <si>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</si>
  <si>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</si>
  <si>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</si>
  <si>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</si>
  <si>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</si>
  <si>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</si>
  <si>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</si>
  <si>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</si>
  <si>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</si>
  <si>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</si>
  <si>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</si>
  <si>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</si>
  <si>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</si>
  <si>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</si>
  <si>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</si>
  <si>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</si>
  <si>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</si>
  <si>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</si>
  <si>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</si>
  <si>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</si>
  <si>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</si>
  <si>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</si>
  <si>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</si>
  <si>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</si>
  <si>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</si>
  <si>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</si>
  <si>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</si>
  <si>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</si>
  <si>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</si>
  <si>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</si>
  <si>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</si>
  <si>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</si>
  <si>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</si>
  <si>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</si>
  <si>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</si>
  <si>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</si>
  <si>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</si>
  <si>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</si>
  <si>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</si>
  <si>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</si>
  <si>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</si>
  <si>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</si>
  <si>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</si>
  <si>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</si>
  <si>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</si>
  <si>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</si>
  <si>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</si>
  <si>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</si>
  <si>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</si>
  <si>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</si>
  <si>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</si>
  <si>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</si>
  <si>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</si>
  <si>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</si>
  <si>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</si>
  <si>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</si>
  <si>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</si>
  <si>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</si>
  <si>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</si>
  <si>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</si>
  <si>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</si>
  <si>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</si>
  <si>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</si>
  <si>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</si>
  <si>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</si>
  <si>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</si>
  <si>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</si>
  <si>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</si>
  <si>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</si>
  <si>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</si>
  <si>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</si>
  <si>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</si>
  <si>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</si>
  <si>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</si>
  <si>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</si>
  <si>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</si>
  <si>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</si>
  <si>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</si>
  <si>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</si>
  <si>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</si>
  <si>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</si>
  <si>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</si>
  <si>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</si>
  <si>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</si>
  <si>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</si>
  <si>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</si>
  <si>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</si>
  <si>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</si>
  <si>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</si>
  <si>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</si>
  <si>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</si>
  <si>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</si>
  <si>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</si>
  <si>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</si>
  <si>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</si>
  <si>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</si>
  <si>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</si>
  <si>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</si>
  <si>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</si>
  <si>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</si>
  <si>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</si>
  <si>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</si>
  <si>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</si>
  <si>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</si>
  <si>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</si>
  <si>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</si>
  <si>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</si>
  <si>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</si>
  <si>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</si>
  <si>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</si>
  <si>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</si>
  <si>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</si>
  <si>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</si>
  <si>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</si>
  <si>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</si>
  <si>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</si>
  <si>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</si>
  <si>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</si>
  <si>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</si>
  <si>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</si>
  <si>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</si>
  <si>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</si>
  <si>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</si>
  <si>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</si>
  <si>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</si>
  <si>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</si>
  <si>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</si>
  <si>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</si>
  <si>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</si>
  <si>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</si>
  <si>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</si>
  <si>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</si>
  <si>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</si>
  <si>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</si>
  <si>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</si>
  <si>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</si>
  <si>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</si>
  <si>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</si>
  <si>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</si>
  <si>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</si>
  <si>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</si>
  <si>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</si>
  <si>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</si>
  <si>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</si>
  <si>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</si>
  <si>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</si>
  <si>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</si>
  <si>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</si>
  <si>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</si>
  <si>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</si>
  <si>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</si>
  <si>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</si>
  <si>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</si>
  <si>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</si>
  <si>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</si>
  <si>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</si>
  <si>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</si>
  <si>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</si>
  <si>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</si>
  <si>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</si>
  <si>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</si>
  <si>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</si>
  <si>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</si>
  <si>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</si>
  <si>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</si>
  <si>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</si>
  <si>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</si>
  <si>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</si>
  <si>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</si>
  <si>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</si>
  <si>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</si>
  <si>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</si>
  <si>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</si>
  <si>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</si>
  <si>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</si>
  <si>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</si>
  <si>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</si>
  <si>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</si>
  <si>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</si>
  <si>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</si>
  <si>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</si>
  <si>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</si>
  <si>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</si>
  <si>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</si>
  <si>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</si>
  <si>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</si>
  <si>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</si>
  <si>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</si>
  <si>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</si>
  <si>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</si>
  <si>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</si>
  <si>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</si>
  <si>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</si>
  <si>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</si>
  <si>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</si>
  <si>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</si>
  <si>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</si>
  <si>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</si>
  <si>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</si>
  <si>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</si>
  <si>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</si>
  <si>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</si>
  <si>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</si>
  <si>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</si>
  <si>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</si>
  <si>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</si>
  <si>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</si>
  <si>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</si>
  <si>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</si>
  <si>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</si>
  <si>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</si>
  <si>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</si>
  <si>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</si>
  <si>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</si>
  <si>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</si>
  <si>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</si>
  <si>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</si>
  <si>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</si>
  <si>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</si>
  <si>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</si>
  <si>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</si>
  <si>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</si>
  <si>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</si>
  <si>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</si>
  <si>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</si>
  <si>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</si>
  <si>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</si>
  <si>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</si>
  <si>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</si>
  <si>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</si>
  <si>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</si>
  <si>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</si>
  <si>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</si>
  <si>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</si>
  <si>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</si>
  <si>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</si>
  <si>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</si>
  <si>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</si>
  <si>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</si>
  <si>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</si>
  <si>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</si>
  <si>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</si>
  <si>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</si>
  <si>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</si>
  <si>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</si>
  <si>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</si>
  <si>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</si>
  <si>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</si>
  <si>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</si>
  <si>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</si>
  <si>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</si>
  <si>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</si>
  <si>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</si>
  <si>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</si>
  <si>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</si>
  <si>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</si>
  <si>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</si>
  <si>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</si>
  <si>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</si>
  <si>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</si>
  <si>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</si>
  <si>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</si>
  <si>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</si>
  <si>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</si>
  <si>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</si>
  <si>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</si>
  <si>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</si>
  <si>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</si>
  <si>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</si>
  <si>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</si>
  <si>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</si>
  <si>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</si>
  <si>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</si>
  <si>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</si>
  <si>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</si>
  <si>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</si>
  <si>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</si>
  <si>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</si>
  <si>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</si>
  <si>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</si>
  <si>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</si>
  <si>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</si>
  <si>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</si>
  <si>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</si>
  <si>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</si>
  <si>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</si>
  <si>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</si>
  <si>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</si>
  <si>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</si>
  <si>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</si>
  <si>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</si>
  <si>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</si>
  <si>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</si>
  <si>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</si>
  <si>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</si>
  <si>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</si>
  <si>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</si>
  <si>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</si>
  <si>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</si>
  <si>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</si>
  <si>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</si>
  <si>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</si>
  <si>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</si>
  <si>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</si>
  <si>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</si>
  <si>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</si>
  <si>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</si>
  <si>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</si>
  <si>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</si>
  <si>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</si>
  <si>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</si>
  <si>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</si>
  <si>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</si>
  <si>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</si>
  <si>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</si>
  <si>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</si>
  <si>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</si>
  <si>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</si>
  <si>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</si>
  <si>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</si>
  <si>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</si>
  <si>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</si>
  <si>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</si>
  <si>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</si>
  <si>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</si>
  <si>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</si>
  <si>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</si>
  <si>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</si>
  <si>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</si>
  <si>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</si>
  <si>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</si>
  <si>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</si>
  <si>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</si>
  <si>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</si>
  <si>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</si>
  <si>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</si>
  <si>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</si>
  <si>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</si>
  <si>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</si>
  <si>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</si>
  <si>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</si>
  <si>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</si>
  <si>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</si>
  <si>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</si>
  <si>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</si>
  <si>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</si>
  <si>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</si>
  <si>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</si>
  <si>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</si>
  <si>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</si>
  <si>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</si>
  <si>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</si>
  <si>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</si>
  <si>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</si>
  <si>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</si>
  <si>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</si>
  <si>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</si>
  <si>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</si>
  <si>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</si>
  <si>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</si>
  <si>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</si>
  <si>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</si>
  <si>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</si>
  <si>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</si>
  <si>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</si>
  <si>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</si>
  <si>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</si>
  <si>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</si>
  <si>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</si>
  <si>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</si>
  <si>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</si>
  <si>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</si>
  <si>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</si>
  <si>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</si>
  <si>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</si>
  <si>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</si>
  <si>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</si>
  <si>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</si>
  <si>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</si>
  <si>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</si>
  <si>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</si>
  <si>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</si>
  <si>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</si>
  <si>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</si>
  <si>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</si>
  <si>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</si>
  <si>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</si>
  <si>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</si>
  <si>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</si>
  <si>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</si>
  <si>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</si>
  <si>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</si>
  <si>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</si>
  <si>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</si>
  <si>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</si>
  <si>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</si>
  <si>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</si>
  <si>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</si>
  <si>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</si>
  <si>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</si>
  <si>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</si>
  <si>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</si>
  <si>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</si>
  <si>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</si>
  <si>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</si>
  <si>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</si>
  <si>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</si>
  <si>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</si>
  <si>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</si>
  <si>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</si>
  <si>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</si>
  <si>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</si>
  <si>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</si>
  <si>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</si>
  <si>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</si>
  <si>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</si>
  <si>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</si>
  <si>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</si>
  <si>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</si>
  <si>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</si>
  <si>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</si>
  <si>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</si>
  <si>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</si>
  <si>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</si>
  <si>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</si>
  <si>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</si>
  <si>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</si>
  <si>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</si>
  <si>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</si>
  <si>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</si>
  <si>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</si>
  <si>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</si>
  <si>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</si>
  <si>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</si>
  <si>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</si>
  <si>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</si>
  <si>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</si>
  <si>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</si>
  <si>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</si>
  <si>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</si>
  <si>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</si>
  <si>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</si>
  <si>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</si>
  <si>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</si>
  <si>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</si>
  <si>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</si>
  <si>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</si>
  <si>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</si>
  <si>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</si>
  <si>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</si>
  <si>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</si>
  <si>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</si>
  <si>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</si>
  <si>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</si>
  <si>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</si>
  <si>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</si>
  <si>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</si>
  <si>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</si>
  <si>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</si>
  <si>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</si>
  <si>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</si>
  <si>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</si>
  <si>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</si>
  <si>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</si>
  <si>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</si>
  <si>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</si>
  <si>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</si>
  <si>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</si>
  <si>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</si>
  <si>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</si>
  <si>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</si>
  <si>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</si>
  <si>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</si>
  <si>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</si>
  <si>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</si>
  <si>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</si>
  <si>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</si>
  <si>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</si>
  <si>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</si>
  <si>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</si>
  <si>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</si>
  <si>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</si>
  <si>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</si>
  <si>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</si>
  <si>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</si>
  <si>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</si>
  <si>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</si>
  <si>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</si>
  <si>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</si>
  <si>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</si>
  <si>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</si>
  <si>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</si>
  <si>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</si>
  <si>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</si>
  <si>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</si>
  <si>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</si>
  <si>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</si>
  <si>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</si>
  <si>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</si>
  <si>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</si>
  <si>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</si>
  <si>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</si>
  <si>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</si>
  <si>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</si>
  <si>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</si>
  <si>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</si>
  <si>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</si>
  <si>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</si>
  <si>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</si>
  <si>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</si>
  <si>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</si>
  <si>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</si>
  <si>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</si>
  <si>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</si>
  <si>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</si>
  <si>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</si>
  <si>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as per need </t>
  </si>
  <si>
    <t>Balod</t>
  </si>
  <si>
    <t>Balodabazar</t>
  </si>
  <si>
    <t>Balrampur</t>
  </si>
  <si>
    <t>Bastar</t>
  </si>
  <si>
    <t>Bemetara</t>
  </si>
  <si>
    <t>Bijapur</t>
  </si>
  <si>
    <t>Bilaspur</t>
  </si>
  <si>
    <t>Dantewada</t>
  </si>
  <si>
    <t>Dhamtari</t>
  </si>
  <si>
    <t>Durg</t>
  </si>
  <si>
    <t>Gariyaband</t>
  </si>
  <si>
    <t>Janjgir Champa</t>
  </si>
  <si>
    <t>Jashpur</t>
  </si>
  <si>
    <t>Kanker</t>
  </si>
  <si>
    <t>Kawardha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</si>
  <si>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</si>
  <si>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</si>
  <si>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</si>
  <si>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</si>
  <si>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</si>
  <si>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</si>
  <si>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</si>
  <si>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</si>
  <si>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</si>
  <si>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</si>
  <si>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</si>
  <si>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Chhattisgarh</t>
  </si>
  <si>
    <t xml:space="preserve">State: </t>
  </si>
  <si>
    <t xml:space="preserve"> Government Administration of  Chhattisgarh</t>
  </si>
  <si>
    <t>Sarguja</t>
  </si>
  <si>
    <t>Dhamatari</t>
  </si>
  <si>
    <t xml:space="preserve">Closing Balance*             (col.4+5-6)                         </t>
  </si>
  <si>
    <t>Central       (col6+9-12)</t>
  </si>
  <si>
    <t>Central      (col6+9-12)</t>
  </si>
  <si>
    <t>e Transfer</t>
  </si>
  <si>
    <t>e transfer</t>
  </si>
  <si>
    <t>Nil</t>
  </si>
  <si>
    <t>S.N.</t>
  </si>
  <si>
    <t>1 Director</t>
  </si>
  <si>
    <t>2 Additional Director</t>
  </si>
  <si>
    <t>3 Deputy Director/ Dist. Ed. Offi.</t>
  </si>
  <si>
    <t>4 Assistant Director/ Block Ed. Offi.</t>
  </si>
  <si>
    <t>5 Accountant</t>
  </si>
  <si>
    <t>6 Cleark</t>
  </si>
  <si>
    <t>Contractual/Part time employee</t>
  </si>
  <si>
    <t>1 Computer Programmer</t>
  </si>
  <si>
    <t xml:space="preserve">2 Consultant Nutrition And Dietitian </t>
  </si>
  <si>
    <t xml:space="preserve">3 Programme Manager </t>
  </si>
  <si>
    <t>4 Data Entry Operator</t>
  </si>
  <si>
    <t>5 Peon</t>
  </si>
  <si>
    <t xml:space="preserve">6 IVRS Technical Person </t>
  </si>
  <si>
    <t>Janjgir</t>
  </si>
  <si>
    <t>1 Day</t>
  </si>
  <si>
    <t>Hygein, Nutrsious value,other preacautions</t>
  </si>
  <si>
    <t>Anacon Laboratiroies Nagpur</t>
  </si>
  <si>
    <t>13-12-2019</t>
  </si>
  <si>
    <t>1859,12</t>
  </si>
  <si>
    <t>26-04-2019</t>
  </si>
  <si>
    <t>15-04-2019</t>
  </si>
  <si>
    <t>23-09-2019</t>
  </si>
  <si>
    <t>24-12-2019</t>
  </si>
  <si>
    <t>Anacon Laborateries Nagpur Maharashtra</t>
  </si>
  <si>
    <t>NEFT</t>
  </si>
  <si>
    <t>NILL</t>
  </si>
  <si>
    <t>Expendituer Incurred    (in Rs)</t>
  </si>
  <si>
    <t>Laika Madai</t>
  </si>
  <si>
    <t>जिला</t>
  </si>
  <si>
    <t>कुल_शाळा_संख्या</t>
  </si>
  <si>
    <t>शाला में किचन सह भण्डार का निर्माण हो चुका है तथा उपयोग में लाया जा रहा है।</t>
  </si>
  <si>
    <t>शाला में किचन सह भण्डार का निर्माण हो चुका है किंतु मरम्मत योग्य है। इसे उपयोग में नहीं लाया जा रहा है</t>
  </si>
  <si>
    <t>शाला में किचन सह भण्डार निर्माणाधीन है</t>
  </si>
  <si>
    <t>शाला में किचन सह भण्डार मरम्तयोग्य नहीं है ये पूर्ण रूप से अनुपयोगी है</t>
  </si>
  <si>
    <t>किचन सह भण्डार स्वीकृत नहीं है इसके लिए राशि की आवशकता है</t>
  </si>
  <si>
    <t>किचन सह भण्डार स्वीकृत नहीं है इसके लिए राशि जिले में उपलब्ध है</t>
  </si>
  <si>
    <t>सुरजपूर</t>
  </si>
  <si>
    <t>सरगुजा</t>
  </si>
  <si>
    <t>सुकमा</t>
  </si>
  <si>
    <t>रायपुर</t>
  </si>
  <si>
    <t>रायगढ़</t>
  </si>
  <si>
    <t>राजनांदगांव</t>
  </si>
  <si>
    <t>महासमुंद</t>
  </si>
  <si>
    <t>मुंगेली</t>
  </si>
  <si>
    <t>बीजापुर</t>
  </si>
  <si>
    <t>बिलासपुर</t>
  </si>
  <si>
    <t>बालोद</t>
  </si>
  <si>
    <t>बस्तर</t>
  </si>
  <si>
    <t>बलौदा बाजार</t>
  </si>
  <si>
    <t>बलरामपुर</t>
  </si>
  <si>
    <t>बेमेतरा</t>
  </si>
  <si>
    <t>नारायणपुर</t>
  </si>
  <si>
    <t>धमतरी</t>
  </si>
  <si>
    <t>दुर्ग</t>
  </si>
  <si>
    <t>दन्तेवाड़ा</t>
  </si>
  <si>
    <t>जांजगीर-चाम्पा</t>
  </si>
  <si>
    <t>जशपुर</t>
  </si>
  <si>
    <t>गरियाबंद</t>
  </si>
  <si>
    <t>कोरिया</t>
  </si>
  <si>
    <t>कोरबा</t>
  </si>
  <si>
    <t>कोंडागांव</t>
  </si>
  <si>
    <t>कांकेर</t>
  </si>
  <si>
    <t>कवर्धा</t>
  </si>
  <si>
    <t>कुल_योग</t>
  </si>
  <si>
    <t>Akshya Patr Foundation</t>
  </si>
  <si>
    <t xml:space="preserve">Pahal </t>
  </si>
  <si>
    <t>21 KM</t>
  </si>
  <si>
    <t>14 KM</t>
  </si>
  <si>
    <t>PAHAL</t>
  </si>
  <si>
    <t>JANHIT CHINTAK SEWA SAMITI DHAMTARI</t>
  </si>
  <si>
    <t>AKSHAY PATRA FOUNDATION</t>
  </si>
  <si>
    <t>REWARDS</t>
  </si>
  <si>
    <t>School Education Department</t>
  </si>
  <si>
    <t>DEO</t>
  </si>
  <si>
    <t>BEO</t>
  </si>
  <si>
    <t>NO</t>
  </si>
  <si>
    <t>No</t>
  </si>
  <si>
    <t>Toll free number/Letters</t>
  </si>
  <si>
    <t>0771-2511191</t>
  </si>
  <si>
    <t>Yes</t>
  </si>
  <si>
    <t>dpi.mdm@gmail.com</t>
  </si>
  <si>
    <t>Deepawali Vacation</t>
  </si>
  <si>
    <t>Winter Vacation</t>
  </si>
  <si>
    <t>Summer Vacation</t>
  </si>
  <si>
    <t>SARGUJA RAIPUR BALOD</t>
  </si>
  <si>
    <t>AUGUST OCTOBER</t>
  </si>
  <si>
    <t>3 COMPLAIN RESOLVED  1 COMPLAIN UNDER PROCESS</t>
  </si>
  <si>
    <t>Socause had Released by  BEO to SHG regarding qulaity of meal</t>
  </si>
  <si>
    <t>Others(Menu)</t>
  </si>
  <si>
    <t>BILASPUR SARGUJA,KANKER ,DURG,MAHASHAMUND</t>
  </si>
  <si>
    <t>SEPTEMBER/NOVEMBER/DECEMBER</t>
  </si>
  <si>
    <t>12 COMPLAIN RESOLVED -2 COMPLAIN-UNDER PROCESS</t>
  </si>
  <si>
    <t>Gave Warning BY BEO TO  SHG  that they must supply food according to menu</t>
  </si>
  <si>
    <t>BALOD</t>
  </si>
  <si>
    <t>BALODA BAJAR</t>
  </si>
  <si>
    <t>BALRAMPUR</t>
  </si>
  <si>
    <t>BASTAR</t>
  </si>
  <si>
    <t>BEMETARA</t>
  </si>
  <si>
    <t>BIJAPUR</t>
  </si>
  <si>
    <t>BILASPUR</t>
  </si>
  <si>
    <t>DANTEWADA</t>
  </si>
  <si>
    <t>DHAMTARI</t>
  </si>
  <si>
    <t>DURG</t>
  </si>
  <si>
    <t>GARIYABANDH</t>
  </si>
  <si>
    <t>JANJGIR</t>
  </si>
  <si>
    <t>JASHPUR</t>
  </si>
  <si>
    <t>KANKER</t>
  </si>
  <si>
    <t>KAWARDHA</t>
  </si>
  <si>
    <t>KONDAGAON</t>
  </si>
  <si>
    <t>KORBA</t>
  </si>
  <si>
    <t>KORIA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</si>
  <si>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</si>
  <si>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</si>
  <si>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</si>
  <si>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</si>
  <si>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</si>
  <si>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</si>
  <si>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</si>
  <si>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</si>
  <si>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</si>
  <si>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r>
      <t>No. of schools   (Class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to 8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>)</t>
    </r>
  </si>
  <si>
    <r>
      <t>No. of schools (Class 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to 12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>)</t>
    </r>
  </si>
  <si>
    <r>
      <t>No. of schools covered  (Class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 to 12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>)</t>
    </r>
  </si>
  <si>
    <r>
      <t>No. of schools (Class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 to 12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) </t>
    </r>
  </si>
  <si>
    <t>izkFkfed 'kkykvksa gsrq</t>
  </si>
  <si>
    <t>dz-</t>
  </si>
  <si>
    <t>?kVdokj fooj.k</t>
  </si>
  <si>
    <t>bdkbZ nj</t>
  </si>
  <si>
    <t>ftyk] fodkl[kaM] 'kkyk @Nk=@deZpkjh dh la[;k</t>
  </si>
  <si>
    <t>dqy jkf'k # esa</t>
  </si>
  <si>
    <t>MkVk ,UVªh vkijsVj ekuns;</t>
  </si>
  <si>
    <t>1 izksxzkej ,oa 1 lgk;d izksxzkej ekuns;</t>
  </si>
  <si>
    <t>,d o"kZ ds fy; ,u- vkbZ- lh- ls fu;qDr                vuqekfur 800000@&amp;</t>
  </si>
  <si>
    <t xml:space="preserve"> 'kkys; Lrj ij O;; ¼QkeZ ,oa LVs'kujh½</t>
  </si>
  <si>
    <t xml:space="preserve">50 # &amp;  izfr 'kkyk dh nj ls </t>
  </si>
  <si>
    <t>izkFkfed 'kkykvksa dh la[;k 31369</t>
  </si>
  <si>
    <t xml:space="preserve"> 'kkykvksa esa e/;kg~u Hkkstu ds iwoZ gkFk /kksus gsrq lkcqu ,oa 'kkSpky;ksa rFkk fdpu dh lkQ lQkbZ gsrq  </t>
  </si>
  <si>
    <t>izfr Nk= 4 # dh nj ls jkf'k</t>
  </si>
  <si>
    <t>dqy Nk= 1870682</t>
  </si>
  <si>
    <t>jlksbZ;ksa ds izf'k{k.k gsrq</t>
  </si>
  <si>
    <r>
      <t xml:space="preserve">100 </t>
    </r>
    <r>
      <rPr>
        <sz val="10"/>
        <rFont val="Kruti Dev 010"/>
      </rPr>
      <t xml:space="preserve">: izfr jlksbZ;k </t>
    </r>
  </si>
  <si>
    <t xml:space="preserve">58991 jlksbZ;k o"kZ esa ,d ckj   </t>
  </si>
  <si>
    <t xml:space="preserve">jkT; Lrj ij dk;kZy; esa e/;kg~u Hkkstu ;kstuk izdks"B gsrq okgu] ,oa prqFkZ Js.kh deZpkfj;ksa dh O;oLFkk gsrq </t>
  </si>
  <si>
    <t xml:space="preserve">2 okgu  ,oa 5 prqFkZ Js.kh deZpkjh dk;kZy; gsrq </t>
  </si>
  <si>
    <t>izfr okgu vkSlru 50000 : izfr ekg ,oa 8000: izfr ekg prqFkZ Js.kh dePkkjh gsrq</t>
  </si>
  <si>
    <t>MkVk ,UVªh vkijsVj izf'k{k.k</t>
  </si>
  <si>
    <t>500 # izfr vkijsVj</t>
  </si>
  <si>
    <t>o"kZ esa rhu ckj</t>
  </si>
  <si>
    <t>;k=k ,oa vU; vkdfLed O;; ¼fofHkUu Lrj ds izf'k{k.k ,oa cSBd gsrq½</t>
  </si>
  <si>
    <t>2000000 jkT; ds fy,</t>
  </si>
  <si>
    <t>1 jkT;</t>
  </si>
  <si>
    <t>40]000 ftys ds fy,</t>
  </si>
  <si>
    <t>28 ftys</t>
  </si>
  <si>
    <t>15]000 fodkl[k.M ds fy,</t>
  </si>
  <si>
    <t xml:space="preserve">146 fodkl[k.M gsrq </t>
  </si>
  <si>
    <t>dqfdax izfr;ksfxrk</t>
  </si>
  <si>
    <t>fodkl[k.M 10000 : vk;kstu ,oa 6000 : iq:Ldkj</t>
  </si>
  <si>
    <t xml:space="preserve">fodkl[k.M </t>
  </si>
  <si>
    <t xml:space="preserve">ftyk 20000 : vk;kstu 12000 : iq:Ldkj </t>
  </si>
  <si>
    <t xml:space="preserve">ftyk </t>
  </si>
  <si>
    <t xml:space="preserve">jkT; 150000 : vk;kstuk ,oa 23000 : iq:Ldkj </t>
  </si>
  <si>
    <t>jkT;</t>
  </si>
  <si>
    <r>
      <t xml:space="preserve">ids gq;s Hkkstu ds uewus dh tkap </t>
    </r>
    <r>
      <rPr>
        <sz val="10"/>
        <color rgb="FF000000"/>
        <rFont val="Arial"/>
        <family val="2"/>
      </rPr>
      <t xml:space="preserve">NABL </t>
    </r>
    <r>
      <rPr>
        <sz val="12"/>
        <color rgb="FF000000"/>
        <rFont val="Kruti Dev 010"/>
      </rPr>
      <t xml:space="preserve">ySc ls djkus gsrq </t>
    </r>
  </si>
  <si>
    <t>lHkh ftyksa ls ;kn`fPNd p;u ls  150 'kkyk</t>
  </si>
  <si>
    <t>;ksx izkFkfed</t>
  </si>
  <si>
    <t>Government  Administration of  Chhattisgarh</t>
  </si>
  <si>
    <t>vij izkFkfed 'kkykvksa gsrq</t>
  </si>
  <si>
    <t xml:space="preserve">ftyk] fodkl[kaM] 'kkyk @Nk=@deZpkjh dh la[;k </t>
  </si>
  <si>
    <t xml:space="preserve"> 1 izksxzkej ,oa 1 lgk;d izksxzkej dk ekuns;</t>
  </si>
  <si>
    <t>,d o"kZ ds fy; ,u- vkbZ- lh- ls fu;qDr  vuqekfur 800000@&amp;</t>
  </si>
  <si>
    <t>vij izkFkfed 'kkykvksa dh la[;k 13555</t>
  </si>
  <si>
    <t xml:space="preserve">izfr Nk= 5 # dh nj ls </t>
  </si>
  <si>
    <t xml:space="preserve">dqy Nk= 1170441 </t>
  </si>
  <si>
    <t xml:space="preserve">30356 jlksbZ;k nks o"kZ esa ,d ckj </t>
  </si>
  <si>
    <t xml:space="preserve">1okgu  ,oa 3 prqFkZ Js.kh deZpkjh dk;kZy; gsrq </t>
  </si>
  <si>
    <t>izfr okgu vkSlru 50000 : izfr ekg ,oa 9000:  izfr ekg prqFkZ Js.kh dePkkjh gsrq</t>
  </si>
  <si>
    <t>1000000 jkT; ds fy,</t>
  </si>
  <si>
    <t>10]000 fodkl[k.M ds fy,</t>
  </si>
  <si>
    <t>lHkh ftyksa ls ;kn`fPNd p;u ls  80 'kkyk</t>
  </si>
  <si>
    <t>;ksx vij izkFkfed</t>
  </si>
  <si>
    <t>15000 # izfr ekg 12 ekg ds fy;s</t>
  </si>
  <si>
    <t>izLrkfor ,e0 ,e0 bZ0 dk;Z;kstuk foRrh; o"kZ 2020&amp;21</t>
  </si>
  <si>
    <t>izLrkfor ,e0,e00bZ0 dk;Z;kstuk foRrh; o"kZ 2020&amp;21</t>
  </si>
  <si>
    <t>12000 : izfr 'kkyk ¼vuqekfur½</t>
  </si>
  <si>
    <t xml:space="preserve">जिला </t>
  </si>
  <si>
    <t xml:space="preserve">छात्र संख्‍या </t>
  </si>
  <si>
    <t>प्राथमिक</t>
  </si>
  <si>
    <t>अपर प्राथमिक</t>
  </si>
  <si>
    <t>सूरजपुर</t>
  </si>
  <si>
    <t>बलौदाबाजार</t>
  </si>
  <si>
    <t>योग</t>
  </si>
  <si>
    <t>सुगंधित एवं मीठा सोया दूध प्रदाय योजना</t>
  </si>
  <si>
    <t>ब्रेकफास्‍ट प्रदाय योजना</t>
  </si>
  <si>
    <t>विकासखण्‍ड</t>
  </si>
  <si>
    <t xml:space="preserve">पेण्‍ड्रा जिला बिलासपुर </t>
  </si>
  <si>
    <t xml:space="preserve">खडगवां जिला कोरिया </t>
  </si>
  <si>
    <t xml:space="preserve">औसत उपस्थिति  </t>
  </si>
  <si>
    <t>चारामा जिला कांकेर</t>
  </si>
  <si>
    <t xml:space="preserve">5 रू प्रति छात्र की दर से 210 दिन के लिये आवश्‍यक राशि लाख में </t>
  </si>
  <si>
    <t>कुनकुरी जिला जशपुर</t>
  </si>
  <si>
    <t xml:space="preserve">भैरमगढ जिला बीजापुर </t>
  </si>
  <si>
    <t xml:space="preserve">6 रू प्रति अण्‍डा की दर से जुलाई से मार्च तक कुल 30 सप्‍ताह हेतु सप्‍ताह में 2 अण्‍डा प्रदाय किये जाने के आधार पर आवश्‍यक राशि लाख में </t>
  </si>
  <si>
    <t>रायगढ</t>
  </si>
  <si>
    <t>केन्‍द्रांश</t>
  </si>
  <si>
    <t>राजयांश</t>
  </si>
  <si>
    <t>क्रमांक</t>
  </si>
  <si>
    <t xml:space="preserve">आवश्‍यक  दूध की मात्रा औसत उपस्थिति के आधार पर लीटर में </t>
  </si>
  <si>
    <t xml:space="preserve">फ्लेक्‍सी मद अन्‍तर्गत पायलट प्रोजेक्‍ट के रूप में प्रस्‍तावित </t>
  </si>
  <si>
    <t xml:space="preserve">क्रमांक </t>
  </si>
  <si>
    <t>राज्‍यांश</t>
  </si>
  <si>
    <t>बच्‍चों को अण्‍डा प्रदाय योजना</t>
  </si>
  <si>
    <t>शाला संख्‍या</t>
  </si>
  <si>
    <t>34,00,000</t>
  </si>
  <si>
    <t>3,00,000</t>
  </si>
  <si>
    <t>37,00,000</t>
  </si>
  <si>
    <t>Cooking Comp.</t>
  </si>
  <si>
    <t>आवश्‍यक राशि लाख में (56 रू प्रति लीटर की दर से टैक्‍स सहित)</t>
  </si>
  <si>
    <t>No. Of Children</t>
  </si>
  <si>
    <t>No. Of Cooks</t>
  </si>
  <si>
    <t>School Days</t>
  </si>
  <si>
    <t xml:space="preserve">No. Of Cooks </t>
  </si>
  <si>
    <t xml:space="preserve"> School Days</t>
  </si>
  <si>
    <t>Food Grain (In MT)</t>
  </si>
  <si>
    <t>Cost of Food Grain</t>
  </si>
  <si>
    <t>Transport Assistance</t>
  </si>
  <si>
    <t>Honorarium of Cook Cum Helper</t>
  </si>
  <si>
    <t>Kitchen Cum Store</t>
  </si>
  <si>
    <t xml:space="preserve">Kitchen Device Replacement </t>
  </si>
  <si>
    <t>Repair of Kitchen Cum Store</t>
  </si>
  <si>
    <t>Flexi Fund</t>
  </si>
  <si>
    <t>18,00,000</t>
  </si>
  <si>
    <t xml:space="preserve">प्रस्‍तावित बजट अनुसार विभिन्‍न मदों में आवश्‍यक राशि लाख में </t>
  </si>
  <si>
    <t>मद</t>
  </si>
  <si>
    <t>इकाई</t>
  </si>
  <si>
    <t xml:space="preserve">अपर प्राथमिक  </t>
  </si>
  <si>
    <t>महायोग</t>
  </si>
  <si>
    <t>खाद्यान्‍न की मात्रा</t>
  </si>
  <si>
    <t xml:space="preserve">  MT </t>
  </si>
  <si>
    <t>खाद्यान्‍न मूल्‍य</t>
  </si>
  <si>
    <t>लाख रू.</t>
  </si>
  <si>
    <t>परिवहन व्‍यय</t>
  </si>
  <si>
    <t xml:space="preserve">कुकिंग कास्‍ट </t>
  </si>
  <si>
    <t>रसोईया मानदेय</t>
  </si>
  <si>
    <t>एम.एम.ई.</t>
  </si>
  <si>
    <t>किचन शेड मरम्‍मत</t>
  </si>
  <si>
    <t>किचन डिवाइस रिप्‍लेसमेंट</t>
  </si>
  <si>
    <t>फ्लेक्‍सी मद</t>
  </si>
  <si>
    <t xml:space="preserve">योग </t>
  </si>
  <si>
    <t xml:space="preserve">शाला </t>
  </si>
  <si>
    <t>दर्ज छात्रों की संख्‍या</t>
  </si>
  <si>
    <r>
      <t>आवश्‍यक खाद्यान्‍न</t>
    </r>
    <r>
      <rPr>
        <b/>
        <sz val="18"/>
        <color rgb="FF000000"/>
        <rFont val="Calibri"/>
        <family val="2"/>
      </rPr>
      <t xml:space="preserve"> (</t>
    </r>
    <r>
      <rPr>
        <b/>
        <sz val="18"/>
        <color rgb="FF000000"/>
        <rFont val="Arial"/>
        <family val="2"/>
      </rPr>
      <t xml:space="preserve">चांवल) की मात्रा क्विंटल में </t>
    </r>
  </si>
  <si>
    <r>
      <t>खाद्यान्‍न मूल्‍य</t>
    </r>
    <r>
      <rPr>
        <b/>
        <sz val="18"/>
        <color rgb="FF000000"/>
        <rFont val="Calibri"/>
        <family val="2"/>
      </rPr>
      <t xml:space="preserve">        (</t>
    </r>
    <r>
      <rPr>
        <b/>
        <sz val="18"/>
        <color rgb="FF000000"/>
        <rFont val="Arial"/>
        <family val="2"/>
      </rPr>
      <t>लाख में)</t>
    </r>
  </si>
  <si>
    <t>परिवहन मूल्‍य (लाख में)</t>
  </si>
  <si>
    <r>
      <t>कुकिंग कास्‍ट</t>
    </r>
    <r>
      <rPr>
        <b/>
        <sz val="18"/>
        <color rgb="FF000000"/>
        <rFont val="Calibri"/>
        <family val="2"/>
      </rPr>
      <t xml:space="preserve">  (</t>
    </r>
    <r>
      <rPr>
        <b/>
        <sz val="18"/>
        <color rgb="FF000000"/>
        <rFont val="Arial"/>
        <family val="2"/>
      </rPr>
      <t>लाख में )</t>
    </r>
  </si>
  <si>
    <t xml:space="preserve">केन्‍द्रांश </t>
  </si>
  <si>
    <t>MDM in Summer Vecation</t>
  </si>
  <si>
    <t>11,00,000</t>
  </si>
  <si>
    <t>Budget Released till 31.03.2020</t>
  </si>
  <si>
    <t>(For the Period 01.04.2019 to 31.03.2020)</t>
  </si>
  <si>
    <t>(As on 31.03.2020)</t>
  </si>
  <si>
    <t>As on 31.03.2020</t>
  </si>
  <si>
    <t>Diff. Between     (7) -(12)</t>
  </si>
  <si>
    <t>Only Protein value are below norm.</t>
  </si>
  <si>
    <t>नगरी जिला धमतरी</t>
  </si>
  <si>
    <t>Table: AT-27 D : Proposal for coverage of children and working days  for Upper Primary (Classes VI-VIII) in summer vacation due to Covid-19  during 2020-21</t>
  </si>
  <si>
    <t>Table: AT-27C : Proposal for coverage of children and working days  for Primary (Classes I-V)  in summer vacation due to Covid-19   during 2020-21</t>
  </si>
  <si>
    <t>Table: AT-27 F</t>
  </si>
  <si>
    <t>Table: AT-27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</si>
</sst>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name val="Cambria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</font>
    <font>
      <i/>
      <sz val="11"/>
      <name val="Trebuchet MS"/>
      <family val="2"/>
    </font>
    <font>
      <sz val="11"/>
      <color rgb="FF000000"/>
      <name val="Mangal"/>
      <family val="1"/>
    </font>
    <font>
      <sz val="11"/>
      <color rgb="FF000000"/>
      <name val="Calibri"/>
      <family val="2"/>
      <scheme val="minor"/>
    </font>
    <font>
      <sz val="11"/>
      <name val="Trebuchet MS"/>
      <family val="2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i/>
      <sz val="10"/>
      <color indexed="8"/>
      <name val="Arial"/>
      <family val="2"/>
    </font>
    <font>
      <sz val="11"/>
      <name val="Cambria"/>
      <family val="1"/>
      <scheme val="maj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0"/>
      <name val="Arial"/>
      <family val="2"/>
    </font>
    <font>
      <b/>
      <u/>
      <sz val="16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sz val="12"/>
      <color rgb="FF000000"/>
      <name val="Kruti Dev 010"/>
    </font>
    <font>
      <sz val="14"/>
      <color rgb="FF000000"/>
      <name val="Kruti Dev 010"/>
    </font>
    <font>
      <sz val="10"/>
      <name val="Kruti Dev 010"/>
    </font>
    <font>
      <sz val="10"/>
      <color rgb="FF000000"/>
      <name val="Arial"/>
      <family val="2"/>
    </font>
    <font>
      <sz val="13"/>
      <color rgb="FF000000"/>
      <name val="Kruti Dev 010"/>
    </font>
    <font>
      <sz val="14"/>
      <color rgb="FF000000"/>
      <name val="Arial Unicode MS"/>
      <family val="2"/>
    </font>
    <font>
      <b/>
      <sz val="20"/>
      <color rgb="FF000000"/>
      <name val="Kruti Dev 010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Mangal"/>
      <family val="1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Mangal"/>
      <family val="1"/>
    </font>
    <font>
      <sz val="26"/>
      <name val="Arial"/>
      <family val="2"/>
    </font>
    <font>
      <sz val="16"/>
      <name val="Amiko"/>
    </font>
    <font>
      <sz val="20"/>
      <name val="Arial"/>
      <family val="2"/>
    </font>
    <font>
      <sz val="18"/>
      <name val="Mangal"/>
      <family val="1"/>
    </font>
    <font>
      <b/>
      <sz val="13"/>
      <name val="Arial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Arial"/>
      <family val="2"/>
    </font>
    <font>
      <sz val="18"/>
      <color rgb="FF000000"/>
      <name val="Arial"/>
      <family val="2"/>
    </font>
    <font>
      <sz val="14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33">
    <xf numFmtId="0" fontId="0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" fillId="0" borderId="0"/>
    <xf numFmtId="0" fontId="10" fillId="0" borderId="0"/>
    <xf numFmtId="0" fontId="73" fillId="0" borderId="0"/>
    <xf numFmtId="0" fontId="10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1235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quotePrefix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5" xfId="0" applyFont="1" applyBorder="1"/>
    <xf numFmtId="0" fontId="10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0" fillId="0" borderId="0" xfId="0" applyFont="1"/>
    <xf numFmtId="0" fontId="0" fillId="0" borderId="5" xfId="0" applyBorder="1"/>
    <xf numFmtId="0" fontId="20" fillId="0" borderId="2" xfId="0" quotePrefix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wrapText="1"/>
    </xf>
    <xf numFmtId="0" fontId="10" fillId="0" borderId="0" xfId="0" quotePrefix="1" applyFont="1" applyBorder="1" applyAlignment="1">
      <alignment horizontal="center"/>
    </xf>
    <xf numFmtId="0" fontId="22" fillId="0" borderId="0" xfId="9" applyFont="1"/>
    <xf numFmtId="0" fontId="23" fillId="0" borderId="2" xfId="9" applyFont="1" applyBorder="1" applyAlignment="1">
      <alignment horizontal="center" vertical="top" wrapText="1"/>
    </xf>
    <xf numFmtId="0" fontId="73" fillId="0" borderId="0" xfId="9"/>
    <xf numFmtId="0" fontId="73" fillId="0" borderId="0" xfId="9" applyAlignment="1">
      <alignment horizontal="left"/>
    </xf>
    <xf numFmtId="0" fontId="24" fillId="0" borderId="0" xfId="9" applyFont="1" applyAlignment="1">
      <alignment horizontal="left"/>
    </xf>
    <xf numFmtId="0" fontId="73" fillId="0" borderId="7" xfId="9" applyBorder="1" applyAlignment="1">
      <alignment horizontal="center"/>
    </xf>
    <xf numFmtId="0" fontId="21" fillId="0" borderId="0" xfId="9" applyFont="1"/>
    <xf numFmtId="0" fontId="21" fillId="0" borderId="0" xfId="9" applyFont="1" applyAlignment="1">
      <alignment horizontal="center"/>
    </xf>
    <xf numFmtId="0" fontId="73" fillId="0" borderId="2" xfId="9" applyBorder="1"/>
    <xf numFmtId="0" fontId="73" fillId="0" borderId="0" xfId="9" applyBorder="1"/>
    <xf numFmtId="0" fontId="25" fillId="0" borderId="3" xfId="9" applyFont="1" applyBorder="1" applyAlignment="1">
      <alignment horizontal="center" vertical="top" wrapText="1"/>
    </xf>
    <xf numFmtId="0" fontId="25" fillId="0" borderId="2" xfId="9" applyFont="1" applyBorder="1" applyAlignment="1">
      <alignment horizontal="center" vertical="top" wrapText="1"/>
    </xf>
    <xf numFmtId="0" fontId="10" fillId="0" borderId="0" xfId="16"/>
    <xf numFmtId="0" fontId="15" fillId="0" borderId="0" xfId="16" applyFont="1" applyAlignment="1">
      <alignment horizontal="center"/>
    </xf>
    <xf numFmtId="0" fontId="8" fillId="0" borderId="0" xfId="16" applyFont="1" applyAlignment="1">
      <alignment horizontal="center"/>
    </xf>
    <xf numFmtId="0" fontId="7" fillId="0" borderId="0" xfId="16" applyFont="1"/>
    <xf numFmtId="0" fontId="5" fillId="0" borderId="2" xfId="16" applyFont="1" applyBorder="1" applyAlignment="1">
      <alignment horizontal="center"/>
    </xf>
    <xf numFmtId="0" fontId="5" fillId="0" borderId="2" xfId="16" applyFont="1" applyBorder="1" applyAlignment="1">
      <alignment horizontal="center" vertical="top" wrapText="1"/>
    </xf>
    <xf numFmtId="0" fontId="10" fillId="0" borderId="2" xfId="16" applyBorder="1" applyAlignment="1">
      <alignment horizontal="center"/>
    </xf>
    <xf numFmtId="0" fontId="10" fillId="0" borderId="2" xfId="16" applyBorder="1"/>
    <xf numFmtId="0" fontId="5" fillId="0" borderId="0" xfId="16" applyFont="1" applyBorder="1" applyAlignment="1">
      <alignment horizontal="center"/>
    </xf>
    <xf numFmtId="0" fontId="10" fillId="0" borderId="0" xfId="16" applyBorder="1"/>
    <xf numFmtId="0" fontId="5" fillId="0" borderId="0" xfId="16" applyFont="1"/>
    <xf numFmtId="0" fontId="20" fillId="0" borderId="7" xfId="0" applyFont="1" applyBorder="1" applyAlignment="1"/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8" xfId="0" applyFont="1" applyBorder="1"/>
    <xf numFmtId="0" fontId="5" fillId="0" borderId="9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22" fillId="0" borderId="2" xfId="9" applyFont="1" applyBorder="1"/>
    <xf numFmtId="0" fontId="22" fillId="0" borderId="0" xfId="9" applyFont="1" applyBorder="1"/>
    <xf numFmtId="0" fontId="5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/>
    <xf numFmtId="0" fontId="8" fillId="0" borderId="0" xfId="0" applyFont="1" applyAlignment="1"/>
    <xf numFmtId="0" fontId="13" fillId="0" borderId="0" xfId="0" applyFont="1" applyBorder="1"/>
    <xf numFmtId="0" fontId="27" fillId="0" borderId="0" xfId="9" applyFont="1"/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16" applyFont="1" applyBorder="1"/>
    <xf numFmtId="0" fontId="21" fillId="0" borderId="0" xfId="9" applyFont="1" applyBorder="1" applyAlignment="1">
      <alignment horizontal="center"/>
    </xf>
    <xf numFmtId="0" fontId="9" fillId="0" borderId="0" xfId="0" applyFont="1" applyBorder="1"/>
    <xf numFmtId="0" fontId="23" fillId="0" borderId="3" xfId="9" applyFont="1" applyBorder="1" applyAlignment="1">
      <alignment horizontal="center" vertical="top" wrapText="1"/>
    </xf>
    <xf numFmtId="0" fontId="9" fillId="0" borderId="2" xfId="0" applyFont="1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16" applyFont="1" applyAlignment="1">
      <alignment horizontal="center"/>
    </xf>
    <xf numFmtId="0" fontId="21" fillId="0" borderId="2" xfId="9" applyFont="1" applyBorder="1" applyAlignment="1">
      <alignment horizontal="center"/>
    </xf>
    <xf numFmtId="0" fontId="21" fillId="0" borderId="0" xfId="9" applyFont="1" applyAlignment="1">
      <alignment horizontal="center" vertical="top" wrapText="1"/>
    </xf>
    <xf numFmtId="0" fontId="21" fillId="0" borderId="2" xfId="9" applyFont="1" applyBorder="1" applyAlignment="1">
      <alignment horizontal="center" vertical="top" wrapText="1"/>
    </xf>
    <xf numFmtId="0" fontId="14" fillId="0" borderId="0" xfId="16" applyFont="1" applyAlignment="1"/>
    <xf numFmtId="0" fontId="9" fillId="0" borderId="7" xfId="0" applyFont="1" applyBorder="1" applyAlignment="1"/>
    <xf numFmtId="0" fontId="17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10" fillId="0" borderId="0" xfId="9" applyFont="1"/>
    <xf numFmtId="0" fontId="8" fillId="0" borderId="0" xfId="9" applyFont="1" applyAlignment="1">
      <alignment horizontal="center"/>
    </xf>
    <xf numFmtId="0" fontId="5" fillId="0" borderId="2" xfId="9" applyFont="1" applyBorder="1" applyAlignment="1">
      <alignment horizontal="center" vertical="top" wrapText="1"/>
    </xf>
    <xf numFmtId="0" fontId="10" fillId="0" borderId="2" xfId="9" applyFont="1" applyBorder="1"/>
    <xf numFmtId="0" fontId="12" fillId="0" borderId="2" xfId="9" applyFont="1" applyBorder="1"/>
    <xf numFmtId="0" fontId="12" fillId="0" borderId="0" xfId="9" applyFont="1"/>
    <xf numFmtId="0" fontId="5" fillId="0" borderId="2" xfId="9" applyFont="1" applyBorder="1"/>
    <xf numFmtId="0" fontId="10" fillId="0" borderId="2" xfId="9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0" fillId="0" borderId="2" xfId="0" applyFont="1" applyBorder="1" applyAlignment="1">
      <alignment wrapText="1"/>
    </xf>
    <xf numFmtId="0" fontId="30" fillId="0" borderId="3" xfId="9" applyFont="1" applyBorder="1" applyAlignment="1">
      <alignment horizontal="center" vertical="top" wrapText="1"/>
    </xf>
    <xf numFmtId="0" fontId="27" fillId="0" borderId="0" xfId="9" applyFont="1" applyAlignment="1">
      <alignment horizontal="center"/>
    </xf>
    <xf numFmtId="0" fontId="31" fillId="0" borderId="10" xfId="9" applyFont="1" applyBorder="1" applyAlignment="1">
      <alignment horizontal="center" wrapText="1"/>
    </xf>
    <xf numFmtId="0" fontId="31" fillId="0" borderId="1" xfId="9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25" fillId="0" borderId="5" xfId="9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3" fillId="0" borderId="0" xfId="9" applyFont="1" applyAlignment="1">
      <alignment horizontal="center"/>
    </xf>
    <xf numFmtId="0" fontId="10" fillId="0" borderId="0" xfId="16" applyFont="1"/>
    <xf numFmtId="0" fontId="5" fillId="0" borderId="2" xfId="9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20" fillId="0" borderId="2" xfId="16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5" fillId="0" borderId="2" xfId="16" applyFont="1" applyBorder="1" applyAlignment="1">
      <alignment horizontal="left" vertical="center" wrapText="1"/>
    </xf>
    <xf numFmtId="0" fontId="5" fillId="0" borderId="2" xfId="16" applyFont="1" applyBorder="1" applyAlignment="1">
      <alignment horizontal="left" vertical="center"/>
    </xf>
    <xf numFmtId="0" fontId="11" fillId="0" borderId="2" xfId="16" applyFont="1" applyBorder="1" applyAlignment="1">
      <alignment horizontal="left" vertical="center" wrapText="1"/>
    </xf>
    <xf numFmtId="0" fontId="10" fillId="0" borderId="0" xfId="17"/>
    <xf numFmtId="0" fontId="9" fillId="0" borderId="0" xfId="17" applyFont="1" applyAlignment="1"/>
    <xf numFmtId="0" fontId="15" fillId="0" borderId="0" xfId="17" applyFont="1" applyAlignment="1"/>
    <xf numFmtId="0" fontId="7" fillId="0" borderId="0" xfId="17" applyFont="1"/>
    <xf numFmtId="0" fontId="20" fillId="0" borderId="2" xfId="17" applyFont="1" applyBorder="1" applyAlignment="1">
      <alignment horizontal="center" vertical="top" wrapText="1"/>
    </xf>
    <xf numFmtId="0" fontId="20" fillId="0" borderId="0" xfId="17" applyFont="1"/>
    <xf numFmtId="0" fontId="20" fillId="0" borderId="2" xfId="17" applyFont="1" applyBorder="1"/>
    <xf numFmtId="0" fontId="20" fillId="0" borderId="0" xfId="17" applyFont="1" applyBorder="1"/>
    <xf numFmtId="0" fontId="20" fillId="0" borderId="5" xfId="17" applyFont="1" applyBorder="1" applyAlignment="1">
      <alignment horizontal="center" vertical="top" wrapText="1"/>
    </xf>
    <xf numFmtId="0" fontId="20" fillId="0" borderId="9" xfId="17" applyFont="1" applyBorder="1" applyAlignment="1">
      <alignment horizontal="center" vertical="top" wrapText="1"/>
    </xf>
    <xf numFmtId="0" fontId="20" fillId="0" borderId="6" xfId="17" applyFont="1" applyBorder="1" applyAlignment="1">
      <alignment horizontal="center" vertical="top" wrapText="1"/>
    </xf>
    <xf numFmtId="0" fontId="5" fillId="0" borderId="0" xfId="17" applyFont="1"/>
    <xf numFmtId="0" fontId="20" fillId="0" borderId="2" xfId="17" applyFont="1" applyBorder="1" applyAlignment="1">
      <alignment horizontal="center"/>
    </xf>
    <xf numFmtId="0" fontId="5" fillId="0" borderId="2" xfId="17" applyFont="1" applyBorder="1"/>
    <xf numFmtId="0" fontId="5" fillId="0" borderId="2" xfId="17" applyFont="1" applyBorder="1" applyAlignment="1">
      <alignment horizontal="center"/>
    </xf>
    <xf numFmtId="0" fontId="5" fillId="0" borderId="2" xfId="17" applyFont="1" applyBorder="1" applyAlignment="1">
      <alignment horizontal="left"/>
    </xf>
    <xf numFmtId="0" fontId="10" fillId="0" borderId="2" xfId="17" applyBorder="1"/>
    <xf numFmtId="0" fontId="5" fillId="0" borderId="2" xfId="17" applyFont="1" applyBorder="1" applyAlignment="1">
      <alignment horizontal="left" wrapText="1"/>
    </xf>
    <xf numFmtId="0" fontId="10" fillId="0" borderId="0" xfId="17" applyFill="1" applyBorder="1" applyAlignment="1">
      <alignment horizontal="left"/>
    </xf>
    <xf numFmtId="0" fontId="9" fillId="0" borderId="0" xfId="17" applyFont="1"/>
    <xf numFmtId="0" fontId="10" fillId="0" borderId="0" xfId="19"/>
    <xf numFmtId="0" fontId="6" fillId="0" borderId="0" xfId="19" applyFont="1" applyAlignment="1">
      <alignment horizontal="right"/>
    </xf>
    <xf numFmtId="0" fontId="7" fillId="0" borderId="0" xfId="19" applyFont="1" applyAlignment="1">
      <alignment horizontal="right"/>
    </xf>
    <xf numFmtId="0" fontId="18" fillId="0" borderId="2" xfId="19" applyFont="1" applyBorder="1" applyAlignment="1">
      <alignment horizontal="center" vertical="top" wrapText="1"/>
    </xf>
    <xf numFmtId="0" fontId="18" fillId="0" borderId="2" xfId="19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/>
    </xf>
    <xf numFmtId="0" fontId="16" fillId="0" borderId="2" xfId="19" applyFont="1" applyBorder="1" applyAlignment="1">
      <alignment horizontal="left" vertical="top" wrapText="1"/>
    </xf>
    <xf numFmtId="0" fontId="16" fillId="0" borderId="2" xfId="19" applyFont="1" applyBorder="1" applyAlignment="1">
      <alignment horizontal="center" vertical="top" wrapText="1"/>
    </xf>
    <xf numFmtId="0" fontId="16" fillId="0" borderId="0" xfId="19" applyFont="1" applyAlignment="1">
      <alignment horizontal="left"/>
    </xf>
    <xf numFmtId="0" fontId="5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Border="1" applyAlignment="1"/>
    <xf numFmtId="0" fontId="38" fillId="0" borderId="1" xfId="0" applyFont="1" applyBorder="1" applyAlignment="1">
      <alignment vertical="top" wrapText="1"/>
    </xf>
    <xf numFmtId="0" fontId="38" fillId="2" borderId="1" xfId="0" applyFont="1" applyFill="1" applyBorder="1" applyAlignment="1">
      <alignment vertical="center" wrapText="1"/>
    </xf>
    <xf numFmtId="0" fontId="39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5" fillId="0" borderId="0" xfId="0" applyFont="1"/>
    <xf numFmtId="0" fontId="5" fillId="0" borderId="0" xfId="9" applyFont="1"/>
    <xf numFmtId="0" fontId="5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/>
    </xf>
    <xf numFmtId="0" fontId="9" fillId="0" borderId="0" xfId="9" applyFont="1"/>
    <xf numFmtId="0" fontId="5" fillId="0" borderId="0" xfId="9" applyFont="1" applyAlignment="1"/>
    <xf numFmtId="0" fontId="5" fillId="0" borderId="7" xfId="9" applyFont="1" applyBorder="1" applyAlignment="1"/>
    <xf numFmtId="0" fontId="5" fillId="0" borderId="0" xfId="9" applyFont="1" applyBorder="1" applyAlignment="1"/>
    <xf numFmtId="0" fontId="5" fillId="0" borderId="0" xfId="9" applyFont="1" applyBorder="1"/>
    <xf numFmtId="0" fontId="5" fillId="0" borderId="0" xfId="9" applyFont="1" applyBorder="1" applyAlignment="1">
      <alignment horizontal="center" vertical="top" wrapText="1"/>
    </xf>
    <xf numFmtId="0" fontId="18" fillId="0" borderId="0" xfId="9" applyFont="1" applyBorder="1" applyAlignment="1">
      <alignment horizontal="left"/>
    </xf>
    <xf numFmtId="0" fontId="39" fillId="0" borderId="2" xfId="0" applyFont="1" applyBorder="1" applyAlignment="1">
      <alignment horizontal="center" vertical="top" wrapText="1"/>
    </xf>
    <xf numFmtId="0" fontId="5" fillId="0" borderId="2" xfId="9" applyFont="1" applyBorder="1" applyAlignment="1">
      <alignment vertical="top" wrapText="1"/>
    </xf>
    <xf numFmtId="0" fontId="5" fillId="0" borderId="0" xfId="9" applyFont="1" applyAlignment="1">
      <alignment vertical="top" wrapText="1"/>
    </xf>
    <xf numFmtId="0" fontId="20" fillId="0" borderId="0" xfId="9" applyFont="1"/>
    <xf numFmtId="0" fontId="18" fillId="0" borderId="0" xfId="9" applyFont="1" applyBorder="1" applyAlignment="1">
      <alignment wrapText="1"/>
    </xf>
    <xf numFmtId="0" fontId="5" fillId="2" borderId="2" xfId="9" quotePrefix="1" applyFont="1" applyFill="1" applyBorder="1" applyAlignment="1">
      <alignment horizontal="center" vertical="center" wrapText="1"/>
    </xf>
    <xf numFmtId="0" fontId="20" fillId="2" borderId="3" xfId="9" quotePrefix="1" applyFont="1" applyFill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/>
    </xf>
    <xf numFmtId="0" fontId="5" fillId="0" borderId="2" xfId="9" applyFont="1" applyBorder="1" applyAlignment="1">
      <alignment horizontal="left" vertical="center"/>
    </xf>
    <xf numFmtId="0" fontId="5" fillId="0" borderId="0" xfId="9" applyFont="1" applyAlignment="1">
      <alignment horizontal="left" vertical="center"/>
    </xf>
    <xf numFmtId="0" fontId="35" fillId="0" borderId="0" xfId="0" applyFont="1" applyAlignment="1"/>
    <xf numFmtId="0" fontId="36" fillId="0" borderId="0" xfId="0" applyFont="1" applyAlignment="1"/>
    <xf numFmtId="0" fontId="39" fillId="0" borderId="0" xfId="0" applyFont="1" applyBorder="1" applyAlignment="1"/>
    <xf numFmtId="0" fontId="38" fillId="0" borderId="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/>
    </xf>
    <xf numFmtId="0" fontId="57" fillId="0" borderId="2" xfId="0" applyFont="1" applyBorder="1" applyAlignment="1">
      <alignment vertical="top" wrapText="1"/>
    </xf>
    <xf numFmtId="0" fontId="54" fillId="0" borderId="2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59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/>
    </xf>
    <xf numFmtId="0" fontId="8" fillId="0" borderId="0" xfId="9" applyFont="1" applyAlignment="1"/>
    <xf numFmtId="0" fontId="35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Border="1"/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3" borderId="0" xfId="0" applyFont="1" applyFill="1"/>
    <xf numFmtId="0" fontId="15" fillId="3" borderId="0" xfId="0" applyFont="1" applyFill="1"/>
    <xf numFmtId="0" fontId="5" fillId="3" borderId="0" xfId="0" applyFont="1" applyFill="1"/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5" fillId="0" borderId="2" xfId="16" applyFont="1" applyFill="1" applyBorder="1" applyAlignment="1">
      <alignment horizontal="left" vertical="center" wrapText="1"/>
    </xf>
    <xf numFmtId="0" fontId="10" fillId="2" borderId="0" xfId="9" applyFont="1" applyFill="1"/>
    <xf numFmtId="0" fontId="8" fillId="2" borderId="0" xfId="9" applyFont="1" applyFill="1" applyAlignment="1"/>
    <xf numFmtId="0" fontId="20" fillId="2" borderId="2" xfId="9" applyFont="1" applyFill="1" applyBorder="1" applyAlignment="1">
      <alignment horizontal="center"/>
    </xf>
    <xf numFmtId="0" fontId="10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quotePrefix="1" applyFont="1" applyFill="1" applyBorder="1" applyAlignment="1">
      <alignment horizontal="center"/>
    </xf>
    <xf numFmtId="0" fontId="10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5" fillId="0" borderId="0" xfId="16" applyFont="1" applyAlignment="1"/>
    <xf numFmtId="0" fontId="20" fillId="0" borderId="0" xfId="16" applyFont="1" applyAlignment="1">
      <alignment horizontal="right"/>
    </xf>
    <xf numFmtId="0" fontId="13" fillId="0" borderId="2" xfId="0" applyFont="1" applyBorder="1" applyAlignment="1">
      <alignment horizontal="center"/>
    </xf>
    <xf numFmtId="0" fontId="62" fillId="0" borderId="2" xfId="9" applyFont="1" applyBorder="1"/>
    <xf numFmtId="0" fontId="53" fillId="0" borderId="0" xfId="9" applyFont="1" applyBorder="1"/>
    <xf numFmtId="0" fontId="53" fillId="0" borderId="2" xfId="9" applyFont="1" applyBorder="1" applyAlignment="1">
      <alignment horizontal="center"/>
    </xf>
    <xf numFmtId="0" fontId="23" fillId="0" borderId="2" xfId="9" applyFont="1" applyBorder="1"/>
    <xf numFmtId="0" fontId="37" fillId="2" borderId="0" xfId="0" applyFont="1" applyFill="1"/>
    <xf numFmtId="0" fontId="53" fillId="2" borderId="2" xfId="0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8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37" fillId="0" borderId="2" xfId="0" quotePrefix="1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43" fillId="0" borderId="0" xfId="0" applyFont="1" applyAlignment="1"/>
    <xf numFmtId="0" fontId="18" fillId="0" borderId="0" xfId="0" applyFont="1" applyAlignment="1"/>
    <xf numFmtId="0" fontId="35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top" wrapText="1"/>
    </xf>
    <xf numFmtId="0" fontId="10" fillId="2" borderId="5" xfId="0" applyFont="1" applyFill="1" applyBorder="1" applyAlignment="1"/>
    <xf numFmtId="0" fontId="38" fillId="2" borderId="1" xfId="0" applyFont="1" applyFill="1" applyBorder="1" applyAlignment="1">
      <alignment horizontal="center" vertical="top" wrapText="1"/>
    </xf>
    <xf numFmtId="0" fontId="5" fillId="0" borderId="0" xfId="10" applyFont="1"/>
    <xf numFmtId="0" fontId="17" fillId="0" borderId="0" xfId="16" applyFont="1" applyAlignment="1">
      <alignment horizontal="left"/>
    </xf>
    <xf numFmtId="0" fontId="5" fillId="0" borderId="0" xfId="16" applyFont="1" applyAlignment="1">
      <alignment horizontal="center"/>
    </xf>
    <xf numFmtId="0" fontId="5" fillId="0" borderId="0" xfId="16" applyFont="1" applyAlignment="1">
      <alignment horizontal="left"/>
    </xf>
    <xf numFmtId="0" fontId="10" fillId="0" borderId="2" xfId="16" applyFont="1" applyBorder="1"/>
    <xf numFmtId="0" fontId="10" fillId="0" borderId="0" xfId="16" applyFont="1" applyBorder="1"/>
    <xf numFmtId="0" fontId="10" fillId="0" borderId="2" xfId="16" applyFont="1" applyBorder="1" applyAlignment="1">
      <alignment horizontal="center"/>
    </xf>
    <xf numFmtId="0" fontId="10" fillId="0" borderId="2" xfId="16" quotePrefix="1" applyFont="1" applyBorder="1" applyAlignment="1">
      <alignment horizontal="center"/>
    </xf>
    <xf numFmtId="0" fontId="5" fillId="0" borderId="2" xfId="16" applyFont="1" applyBorder="1"/>
    <xf numFmtId="0" fontId="73" fillId="0" borderId="0" xfId="9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4" fillId="0" borderId="2" xfId="9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15" fillId="2" borderId="0" xfId="0" applyFont="1" applyFill="1"/>
    <xf numFmtId="0" fontId="13" fillId="0" borderId="2" xfId="16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20" fillId="3" borderId="0" xfId="0" applyFont="1" applyFill="1"/>
    <xf numFmtId="0" fontId="30" fillId="0" borderId="2" xfId="9" applyFont="1" applyBorder="1" applyAlignment="1">
      <alignment horizontal="center" vertical="top" wrapText="1"/>
    </xf>
    <xf numFmtId="0" fontId="47" fillId="0" borderId="0" xfId="9" applyFont="1" applyAlignment="1">
      <alignment horizontal="center"/>
    </xf>
    <xf numFmtId="0" fontId="38" fillId="2" borderId="12" xfId="0" applyFont="1" applyFill="1" applyBorder="1" applyAlignment="1">
      <alignment horizontal="center" vertical="top" wrapText="1"/>
    </xf>
    <xf numFmtId="0" fontId="39" fillId="0" borderId="5" xfId="0" quotePrefix="1" applyFont="1" applyBorder="1" applyAlignment="1">
      <alignment horizontal="center" vertical="top" wrapText="1"/>
    </xf>
    <xf numFmtId="0" fontId="11" fillId="2" borderId="0" xfId="0" applyFont="1" applyFill="1" applyAlignment="1">
      <alignment wrapText="1"/>
    </xf>
    <xf numFmtId="0" fontId="10" fillId="0" borderId="0" xfId="16" applyAlignment="1">
      <alignment horizontal="center"/>
    </xf>
    <xf numFmtId="0" fontId="74" fillId="0" borderId="2" xfId="1" applyBorder="1"/>
    <xf numFmtId="0" fontId="74" fillId="0" borderId="2" xfId="1" applyBorder="1" applyAlignment="1">
      <alignment horizontal="left"/>
    </xf>
    <xf numFmtId="0" fontId="74" fillId="0" borderId="2" xfId="1" applyFill="1" applyBorder="1"/>
    <xf numFmtId="0" fontId="54" fillId="0" borderId="0" xfId="16" applyFont="1" applyAlignment="1">
      <alignment horizontal="center"/>
    </xf>
    <xf numFmtId="0" fontId="37" fillId="0" borderId="0" xfId="16" applyFont="1"/>
    <xf numFmtId="0" fontId="38" fillId="0" borderId="0" xfId="16" applyFont="1"/>
    <xf numFmtId="0" fontId="10" fillId="0" borderId="0" xfId="16" applyAlignment="1">
      <alignment horizontal="right"/>
    </xf>
    <xf numFmtId="0" fontId="65" fillId="2" borderId="2" xfId="16" applyFont="1" applyFill="1" applyBorder="1" applyAlignment="1">
      <alignment horizontal="center" vertical="center" wrapText="1"/>
    </xf>
    <xf numFmtId="0" fontId="5" fillId="2" borderId="2" xfId="16" applyFont="1" applyFill="1" applyBorder="1" applyAlignment="1">
      <alignment horizontal="center" vertical="center" wrapText="1"/>
    </xf>
    <xf numFmtId="0" fontId="10" fillId="0" borderId="2" xfId="16" applyBorder="1" applyAlignment="1">
      <alignment horizontal="center" vertical="center" wrapText="1"/>
    </xf>
    <xf numFmtId="0" fontId="10" fillId="2" borderId="2" xfId="16" applyFill="1" applyBorder="1" applyAlignment="1">
      <alignment horizontal="center" vertical="center" wrapText="1"/>
    </xf>
    <xf numFmtId="0" fontId="66" fillId="2" borderId="2" xfId="16" applyFont="1" applyFill="1" applyBorder="1" applyAlignment="1">
      <alignment horizontal="center" vertical="center" wrapText="1"/>
    </xf>
    <xf numFmtId="0" fontId="10" fillId="2" borderId="2" xfId="16" applyFill="1" applyBorder="1"/>
    <xf numFmtId="0" fontId="53" fillId="0" borderId="0" xfId="16" applyFont="1" applyAlignment="1">
      <alignment horizontal="center"/>
    </xf>
    <xf numFmtId="0" fontId="10" fillId="0" borderId="0" xfId="16" applyAlignment="1">
      <alignment vertical="center"/>
    </xf>
    <xf numFmtId="0" fontId="63" fillId="0" borderId="0" xfId="16" applyFont="1" applyAlignment="1">
      <alignment horizontal="left" vertical="center"/>
    </xf>
    <xf numFmtId="0" fontId="63" fillId="0" borderId="0" xfId="16" applyFont="1" applyAlignment="1">
      <alignment vertical="center"/>
    </xf>
    <xf numFmtId="0" fontId="5" fillId="0" borderId="0" xfId="13" applyFont="1"/>
    <xf numFmtId="0" fontId="5" fillId="0" borderId="2" xfId="0" applyFont="1" applyBorder="1" applyAlignment="1"/>
    <xf numFmtId="2" fontId="0" fillId="0" borderId="2" xfId="0" applyNumberFormat="1" applyBorder="1"/>
    <xf numFmtId="0" fontId="16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0" fillId="0" borderId="2" xfId="0" applyNumberFormat="1" applyFont="1" applyBorder="1" applyAlignment="1">
      <alignment horizontal="right" vertical="center"/>
    </xf>
    <xf numFmtId="2" fontId="64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67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67" fillId="0" borderId="2" xfId="0" applyFont="1" applyBorder="1" applyAlignment="1">
      <alignment horizontal="right"/>
    </xf>
    <xf numFmtId="2" fontId="67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8" fillId="2" borderId="2" xfId="0" applyFont="1" applyFill="1" applyBorder="1" applyAlignment="1">
      <alignment horizontal="left" vertical="center" wrapText="1"/>
    </xf>
    <xf numFmtId="0" fontId="69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/>
    </xf>
    <xf numFmtId="0" fontId="0" fillId="0" borderId="3" xfId="0" applyBorder="1"/>
    <xf numFmtId="0" fontId="10" fillId="0" borderId="6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 vertical="top" wrapText="1"/>
    </xf>
    <xf numFmtId="0" fontId="51" fillId="2" borderId="2" xfId="1" applyFont="1" applyFill="1" applyBorder="1" applyAlignment="1">
      <alignment horizontal="left" vertical="center" wrapText="1"/>
    </xf>
    <xf numFmtId="0" fontId="52" fillId="2" borderId="2" xfId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top" wrapText="1"/>
    </xf>
    <xf numFmtId="0" fontId="13" fillId="0" borderId="2" xfId="9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37" fillId="0" borderId="2" xfId="0" quotePrefix="1" applyFont="1" applyBorder="1" applyAlignment="1">
      <alignment horizontal="right" vertical="top" wrapText="1"/>
    </xf>
    <xf numFmtId="0" fontId="37" fillId="0" borderId="2" xfId="0" quotePrefix="1" applyFont="1" applyBorder="1" applyAlignment="1">
      <alignment horizontal="right" vertical="center" wrapText="1"/>
    </xf>
    <xf numFmtId="0" fontId="39" fillId="0" borderId="2" xfId="0" quotePrefix="1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horizontal="right" vertical="center" wrapText="1"/>
    </xf>
    <xf numFmtId="2" fontId="10" fillId="0" borderId="2" xfId="0" applyNumberFormat="1" applyFont="1" applyBorder="1"/>
    <xf numFmtId="2" fontId="5" fillId="0" borderId="0" xfId="0" applyNumberFormat="1" applyFont="1"/>
    <xf numFmtId="2" fontId="10" fillId="0" borderId="2" xfId="0" applyNumberFormat="1" applyFont="1" applyBorder="1" applyAlignment="1">
      <alignment horizontal="right" vertical="top" wrapText="1"/>
    </xf>
    <xf numFmtId="2" fontId="1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2" fontId="10" fillId="0" borderId="2" xfId="9" applyNumberFormat="1" applyFont="1" applyBorder="1" applyAlignment="1">
      <alignment horizontal="right" vertical="center"/>
    </xf>
    <xf numFmtId="2" fontId="10" fillId="0" borderId="2" xfId="9" applyNumberFormat="1" applyFont="1" applyBorder="1" applyAlignment="1"/>
    <xf numFmtId="2" fontId="10" fillId="0" borderId="2" xfId="9" applyNumberFormat="1" applyFont="1" applyFill="1" applyBorder="1" applyAlignment="1">
      <alignment horizontal="right" vertical="center"/>
    </xf>
    <xf numFmtId="2" fontId="10" fillId="0" borderId="2" xfId="9" applyNumberFormat="1" applyFont="1" applyBorder="1" applyAlignment="1">
      <alignment horizontal="right" vertical="center" wrapText="1"/>
    </xf>
    <xf numFmtId="2" fontId="20" fillId="0" borderId="0" xfId="0" applyNumberFormat="1" applyFont="1"/>
    <xf numFmtId="2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10" fillId="0" borderId="2" xfId="0" applyFont="1" applyBorder="1" applyAlignment="1">
      <alignment horizontal="right" wrapText="1"/>
    </xf>
    <xf numFmtId="2" fontId="10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0" fillId="0" borderId="2" xfId="0" applyBorder="1" applyAlignment="1"/>
    <xf numFmtId="2" fontId="0" fillId="0" borderId="2" xfId="0" applyNumberFormat="1" applyBorder="1" applyAlignment="1"/>
    <xf numFmtId="0" fontId="10" fillId="0" borderId="10" xfId="18" applyFon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vertical="top" wrapText="1"/>
    </xf>
    <xf numFmtId="0" fontId="5" fillId="0" borderId="0" xfId="14" applyFont="1" applyAlignment="1">
      <alignment horizontal="left" vertical="center"/>
    </xf>
    <xf numFmtId="0" fontId="5" fillId="0" borderId="2" xfId="10" applyFont="1" applyBorder="1" applyAlignment="1">
      <alignment horizontal="left" vertical="center"/>
    </xf>
    <xf numFmtId="0" fontId="16" fillId="0" borderId="2" xfId="10" applyFont="1" applyBorder="1" applyAlignment="1">
      <alignment horizontal="center" vertical="center"/>
    </xf>
    <xf numFmtId="0" fontId="5" fillId="0" borderId="2" xfId="10" applyFont="1" applyBorder="1" applyAlignment="1">
      <alignment horizontal="center" vertical="center"/>
    </xf>
    <xf numFmtId="0" fontId="16" fillId="0" borderId="0" xfId="9" applyFont="1"/>
    <xf numFmtId="0" fontId="5" fillId="0" borderId="2" xfId="10" applyFont="1" applyBorder="1" applyAlignment="1">
      <alignment horizontal="left"/>
    </xf>
    <xf numFmtId="0" fontId="5" fillId="0" borderId="0" xfId="14" applyFont="1"/>
    <xf numFmtId="0" fontId="10" fillId="0" borderId="0" xfId="14" applyFont="1"/>
    <xf numFmtId="0" fontId="16" fillId="0" borderId="2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2" xfId="9" applyFont="1" applyBorder="1" applyAlignment="1">
      <alignment vertical="center"/>
    </xf>
    <xf numFmtId="0" fontId="10" fillId="2" borderId="2" xfId="0" applyFont="1" applyFill="1" applyBorder="1" applyAlignment="1">
      <alignment horizontal="right"/>
    </xf>
    <xf numFmtId="0" fontId="38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48" fillId="0" borderId="2" xfId="0" quotePrefix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 applyProtection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2" fontId="16" fillId="0" borderId="2" xfId="19" applyNumberFormat="1" applyFont="1" applyBorder="1" applyAlignment="1">
      <alignment horizontal="right" vertical="center" wrapText="1"/>
    </xf>
    <xf numFmtId="14" fontId="16" fillId="0" borderId="2" xfId="19" applyNumberFormat="1" applyFont="1" applyBorder="1" applyAlignment="1">
      <alignment horizontal="center" vertical="top" wrapText="1"/>
    </xf>
    <xf numFmtId="2" fontId="16" fillId="0" borderId="2" xfId="19" applyNumberFormat="1" applyFont="1" applyBorder="1" applyAlignment="1">
      <alignment horizontal="right" vertical="top" wrapText="1"/>
    </xf>
    <xf numFmtId="0" fontId="37" fillId="2" borderId="2" xfId="0" applyFont="1" applyFill="1" applyBorder="1" applyAlignment="1">
      <alignment horizontal="right" vertical="center"/>
    </xf>
    <xf numFmtId="0" fontId="37" fillId="0" borderId="5" xfId="0" quotePrefix="1" applyFont="1" applyBorder="1" applyAlignment="1">
      <alignment horizontal="right" vertical="center" wrapText="1"/>
    </xf>
    <xf numFmtId="0" fontId="20" fillId="2" borderId="5" xfId="0" applyFont="1" applyFill="1" applyBorder="1" applyAlignment="1">
      <alignment horizontal="center" vertical="top" wrapText="1"/>
    </xf>
    <xf numFmtId="2" fontId="13" fillId="0" borderId="0" xfId="0" applyNumberFormat="1" applyFont="1"/>
    <xf numFmtId="2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1" fontId="0" fillId="0" borderId="2" xfId="0" applyNumberFormat="1" applyBorder="1"/>
    <xf numFmtId="0" fontId="16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1" fillId="0" borderId="2" xfId="16" applyFont="1" applyBorder="1" applyAlignment="1">
      <alignment horizontal="right"/>
    </xf>
    <xf numFmtId="0" fontId="39" fillId="0" borderId="2" xfId="11" quotePrefix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76" fillId="5" borderId="18" xfId="0" applyFont="1" applyFill="1" applyBorder="1" applyAlignment="1">
      <alignment horizontal="center" vertical="center" wrapText="1"/>
    </xf>
    <xf numFmtId="0" fontId="76" fillId="5" borderId="19" xfId="0" applyFont="1" applyFill="1" applyBorder="1" applyAlignment="1">
      <alignment horizontal="center" vertical="center" wrapText="1"/>
    </xf>
    <xf numFmtId="0" fontId="77" fillId="5" borderId="20" xfId="0" applyFont="1" applyFill="1" applyBorder="1" applyAlignment="1">
      <alignment horizontal="center" vertical="center" wrapText="1"/>
    </xf>
    <xf numFmtId="0" fontId="77" fillId="5" borderId="21" xfId="0" applyFont="1" applyFill="1" applyBorder="1" applyAlignment="1">
      <alignment horizontal="center" vertical="center" wrapText="1"/>
    </xf>
    <xf numFmtId="0" fontId="77" fillId="5" borderId="22" xfId="0" applyFont="1" applyFill="1" applyBorder="1" applyAlignment="1">
      <alignment horizontal="center" vertical="center" wrapText="1"/>
    </xf>
    <xf numFmtId="0" fontId="73" fillId="5" borderId="18" xfId="1" applyFont="1" applyFill="1" applyBorder="1" applyAlignment="1">
      <alignment horizontal="center" vertical="center" wrapText="1"/>
    </xf>
    <xf numFmtId="0" fontId="78" fillId="5" borderId="18" xfId="1" applyFont="1" applyFill="1" applyBorder="1" applyAlignment="1">
      <alignment horizontal="center" vertical="center" wrapText="1"/>
    </xf>
    <xf numFmtId="0" fontId="76" fillId="5" borderId="25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0" fillId="2" borderId="2" xfId="0" applyFont="1" applyFill="1" applyBorder="1" applyAlignment="1">
      <alignment vertical="center"/>
    </xf>
    <xf numFmtId="0" fontId="10" fillId="0" borderId="2" xfId="9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right" vertical="top" wrapText="1"/>
    </xf>
    <xf numFmtId="0" fontId="10" fillId="0" borderId="2" xfId="9" applyFont="1" applyBorder="1" applyAlignment="1">
      <alignment horizontal="right" vertical="top" wrapText="1"/>
    </xf>
    <xf numFmtId="0" fontId="10" fillId="0" borderId="2" xfId="0" applyFont="1" applyBorder="1" applyAlignment="1">
      <alignment horizontal="right"/>
    </xf>
    <xf numFmtId="0" fontId="10" fillId="0" borderId="2" xfId="18" applyFont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79" fillId="0" borderId="2" xfId="0" quotePrefix="1" applyFont="1" applyBorder="1" applyAlignment="1">
      <alignment horizontal="center" vertical="center" wrapText="1"/>
    </xf>
    <xf numFmtId="0" fontId="80" fillId="0" borderId="2" xfId="0" applyFont="1" applyBorder="1" applyAlignment="1">
      <alignment horizontal="right" vertical="center" wrapText="1" readingOrder="1"/>
    </xf>
    <xf numFmtId="0" fontId="81" fillId="4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79" fillId="0" borderId="2" xfId="0" quotePrefix="1" applyFont="1" applyBorder="1" applyAlignment="1">
      <alignment horizontal="right" vertical="center" wrapText="1"/>
    </xf>
    <xf numFmtId="2" fontId="79" fillId="0" borderId="2" xfId="0" quotePrefix="1" applyNumberFormat="1" applyFont="1" applyBorder="1" applyAlignment="1">
      <alignment horizontal="right" vertical="center" wrapText="1"/>
    </xf>
    <xf numFmtId="0" fontId="80" fillId="0" borderId="27" xfId="0" applyFont="1" applyBorder="1" applyAlignment="1">
      <alignment horizontal="right" vertical="center" wrapText="1" readingOrder="1"/>
    </xf>
    <xf numFmtId="0" fontId="80" fillId="0" borderId="28" xfId="0" applyFont="1" applyBorder="1" applyAlignment="1">
      <alignment horizontal="right" vertical="center" wrapText="1" readingOrder="1"/>
    </xf>
    <xf numFmtId="2" fontId="82" fillId="0" borderId="2" xfId="0" applyNumberFormat="1" applyFont="1" applyBorder="1" applyAlignment="1">
      <alignment vertical="center"/>
    </xf>
    <xf numFmtId="2" fontId="16" fillId="0" borderId="2" xfId="0" applyNumberFormat="1" applyFont="1" applyBorder="1" applyAlignment="1">
      <alignment vertical="center"/>
    </xf>
    <xf numFmtId="2" fontId="82" fillId="0" borderId="2" xfId="0" quotePrefix="1" applyNumberFormat="1" applyFont="1" applyBorder="1" applyAlignment="1">
      <alignment vertical="center" wrapText="1"/>
    </xf>
    <xf numFmtId="0" fontId="25" fillId="0" borderId="2" xfId="9" applyFont="1" applyBorder="1" applyAlignment="1">
      <alignment horizontal="center" vertical="top" wrapText="1"/>
    </xf>
    <xf numFmtId="0" fontId="25" fillId="0" borderId="3" xfId="9" applyFont="1" applyBorder="1" applyAlignment="1">
      <alignment horizontal="center" vertical="top" wrapText="1"/>
    </xf>
    <xf numFmtId="0" fontId="23" fillId="0" borderId="3" xfId="9" applyFont="1" applyBorder="1" applyAlignment="1">
      <alignment horizontal="center" vertical="top" wrapText="1"/>
    </xf>
    <xf numFmtId="0" fontId="10" fillId="0" borderId="0" xfId="11"/>
    <xf numFmtId="0" fontId="47" fillId="0" borderId="0" xfId="11" applyFont="1" applyAlignment="1">
      <alignment horizontal="center"/>
    </xf>
    <xf numFmtId="0" fontId="37" fillId="0" borderId="0" xfId="11" applyFont="1"/>
    <xf numFmtId="0" fontId="37" fillId="2" borderId="0" xfId="11" applyFont="1" applyFill="1"/>
    <xf numFmtId="0" fontId="35" fillId="2" borderId="0" xfId="11" applyFont="1" applyFill="1" applyAlignment="1">
      <alignment horizontal="center"/>
    </xf>
    <xf numFmtId="0" fontId="38" fillId="0" borderId="0" xfId="11" applyFont="1"/>
    <xf numFmtId="0" fontId="5" fillId="0" borderId="2" xfId="11" applyFont="1" applyBorder="1" applyAlignment="1">
      <alignment horizontal="center" vertical="top" wrapText="1"/>
    </xf>
    <xf numFmtId="0" fontId="5" fillId="0" borderId="2" xfId="11" applyFont="1" applyBorder="1" applyAlignment="1">
      <alignment horizontal="center" vertical="top"/>
    </xf>
    <xf numFmtId="0" fontId="38" fillId="0" borderId="2" xfId="11" applyFont="1" applyBorder="1" applyAlignment="1">
      <alignment horizontal="center" vertical="top" wrapText="1"/>
    </xf>
    <xf numFmtId="0" fontId="39" fillId="2" borderId="2" xfId="11" quotePrefix="1" applyFont="1" applyFill="1" applyBorder="1" applyAlignment="1">
      <alignment horizontal="center" vertical="top" wrapText="1"/>
    </xf>
    <xf numFmtId="0" fontId="37" fillId="0" borderId="2" xfId="11" quotePrefix="1" applyFont="1" applyBorder="1" applyAlignment="1">
      <alignment horizontal="center" vertical="top" wrapText="1"/>
    </xf>
    <xf numFmtId="0" fontId="68" fillId="2" borderId="2" xfId="11" applyFont="1" applyFill="1" applyBorder="1" applyAlignment="1">
      <alignment vertical="center" wrapText="1"/>
    </xf>
    <xf numFmtId="0" fontId="10" fillId="0" borderId="2" xfId="11" applyBorder="1"/>
    <xf numFmtId="0" fontId="10" fillId="2" borderId="0" xfId="11" applyFill="1"/>
    <xf numFmtId="0" fontId="20" fillId="0" borderId="0" xfId="11" applyFont="1"/>
    <xf numFmtId="0" fontId="5" fillId="0" borderId="0" xfId="11" applyFont="1" applyAlignment="1">
      <alignment horizontal="center" vertical="center" wrapText="1"/>
    </xf>
    <xf numFmtId="0" fontId="0" fillId="0" borderId="0" xfId="0"/>
    <xf numFmtId="0" fontId="10" fillId="0" borderId="2" xfId="0" applyFont="1" applyBorder="1"/>
    <xf numFmtId="0" fontId="16" fillId="0" borderId="0" xfId="0" applyFont="1"/>
    <xf numFmtId="0" fontId="18" fillId="0" borderId="2" xfId="0" applyFont="1" applyBorder="1" applyAlignment="1">
      <alignment horizontal="center" vertical="top" wrapText="1"/>
    </xf>
    <xf numFmtId="0" fontId="18" fillId="0" borderId="0" xfId="0" applyFont="1"/>
    <xf numFmtId="0" fontId="16" fillId="0" borderId="2" xfId="0" applyFont="1" applyBorder="1" applyAlignment="1">
      <alignment horizontal="center" vertical="top" wrapText="1"/>
    </xf>
    <xf numFmtId="0" fontId="10" fillId="0" borderId="0" xfId="16"/>
    <xf numFmtId="0" fontId="8" fillId="0" borderId="0" xfId="16" applyFont="1" applyAlignment="1">
      <alignment horizontal="center"/>
    </xf>
    <xf numFmtId="0" fontId="7" fillId="0" borderId="0" xfId="16" applyFont="1"/>
    <xf numFmtId="0" fontId="5" fillId="0" borderId="2" xfId="16" applyFont="1" applyBorder="1" applyAlignment="1">
      <alignment horizontal="center"/>
    </xf>
    <xf numFmtId="0" fontId="5" fillId="0" borderId="2" xfId="16" applyFont="1" applyBorder="1" applyAlignment="1">
      <alignment horizontal="center" vertical="top" wrapText="1"/>
    </xf>
    <xf numFmtId="0" fontId="10" fillId="0" borderId="2" xfId="16" applyBorder="1" applyAlignment="1">
      <alignment horizontal="center"/>
    </xf>
    <xf numFmtId="0" fontId="9" fillId="0" borderId="0" xfId="16" applyFont="1"/>
    <xf numFmtId="0" fontId="9" fillId="0" borderId="0" xfId="16" applyFont="1" applyAlignment="1">
      <alignment horizontal="center"/>
    </xf>
    <xf numFmtId="0" fontId="10" fillId="0" borderId="0" xfId="16" applyAlignment="1">
      <alignment horizontal="left"/>
    </xf>
    <xf numFmtId="0" fontId="9" fillId="0" borderId="0" xfId="16" applyFont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20" fillId="0" borderId="2" xfId="16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5" fillId="0" borderId="0" xfId="11" applyFont="1"/>
    <xf numFmtId="0" fontId="68" fillId="2" borderId="2" xfId="11" applyFont="1" applyFill="1" applyBorder="1" applyAlignment="1">
      <alignment horizontal="left" vertical="center" wrapText="1"/>
    </xf>
    <xf numFmtId="0" fontId="6" fillId="0" borderId="0" xfId="11" applyFont="1" applyAlignment="1">
      <alignment horizontal="right"/>
    </xf>
    <xf numFmtId="0" fontId="15" fillId="0" borderId="2" xfId="16" applyFont="1" applyBorder="1" applyAlignment="1">
      <alignment horizontal="center"/>
    </xf>
    <xf numFmtId="0" fontId="72" fillId="0" borderId="2" xfId="16" applyFont="1" applyBorder="1" applyAlignment="1">
      <alignment horizontal="center" vertical="top" wrapText="1"/>
    </xf>
    <xf numFmtId="0" fontId="10" fillId="0" borderId="0" xfId="11" applyAlignment="1">
      <alignment horizontal="left"/>
    </xf>
    <xf numFmtId="0" fontId="84" fillId="0" borderId="2" xfId="29" applyFont="1" applyBorder="1" applyAlignment="1">
      <alignment horizontal="right"/>
    </xf>
    <xf numFmtId="0" fontId="85" fillId="0" borderId="2" xfId="11" applyFont="1" applyBorder="1" applyAlignment="1">
      <alignment horizontal="right"/>
    </xf>
    <xf numFmtId="0" fontId="86" fillId="0" borderId="2" xfId="16" applyFont="1" applyBorder="1" applyAlignment="1">
      <alignment horizontal="right" vertical="top" wrapText="1"/>
    </xf>
    <xf numFmtId="0" fontId="72" fillId="0" borderId="2" xfId="16" applyFont="1" applyBorder="1" applyAlignment="1">
      <alignment horizontal="right" vertical="top" wrapText="1"/>
    </xf>
    <xf numFmtId="0" fontId="72" fillId="0" borderId="2" xfId="16" applyFont="1" applyBorder="1" applyAlignment="1">
      <alignment horizontal="right"/>
    </xf>
    <xf numFmtId="0" fontId="6" fillId="0" borderId="0" xfId="16" applyFont="1"/>
    <xf numFmtId="0" fontId="5" fillId="0" borderId="0" xfId="11" applyFont="1" applyAlignment="1">
      <alignment horizontal="left"/>
    </xf>
    <xf numFmtId="0" fontId="85" fillId="0" borderId="8" xfId="11" applyFont="1" applyBorder="1" applyAlignment="1">
      <alignment horizontal="center" vertical="top" wrapText="1"/>
    </xf>
    <xf numFmtId="0" fontId="85" fillId="0" borderId="3" xfId="11" applyFont="1" applyBorder="1" applyAlignment="1">
      <alignment horizontal="center" vertical="top" wrapText="1"/>
    </xf>
    <xf numFmtId="0" fontId="5" fillId="0" borderId="3" xfId="11" applyFont="1" applyBorder="1" applyAlignment="1">
      <alignment horizontal="center" vertical="top" wrapText="1"/>
    </xf>
    <xf numFmtId="0" fontId="5" fillId="0" borderId="8" xfId="11" applyFont="1" applyBorder="1" applyAlignment="1">
      <alignment horizontal="center" vertical="top" wrapText="1"/>
    </xf>
    <xf numFmtId="0" fontId="85" fillId="0" borderId="2" xfId="16" applyFont="1" applyBorder="1" applyAlignment="1">
      <alignment horizontal="center" vertical="top" wrapText="1"/>
    </xf>
    <xf numFmtId="0" fontId="87" fillId="2" borderId="2" xfId="11" applyFont="1" applyFill="1" applyBorder="1" applyAlignment="1">
      <alignment horizontal="left" vertical="center" wrapText="1"/>
    </xf>
    <xf numFmtId="0" fontId="88" fillId="0" borderId="2" xfId="16" applyFont="1" applyBorder="1" applyAlignment="1">
      <alignment horizontal="center" vertical="top" wrapText="1"/>
    </xf>
    <xf numFmtId="0" fontId="88" fillId="0" borderId="5" xfId="16" applyFont="1" applyBorder="1" applyAlignment="1">
      <alignment horizontal="center" vertical="top" wrapText="1"/>
    </xf>
    <xf numFmtId="0" fontId="88" fillId="0" borderId="2" xfId="11" applyFont="1" applyBorder="1" applyAlignment="1">
      <alignment horizontal="center"/>
    </xf>
    <xf numFmtId="0" fontId="88" fillId="0" borderId="0" xfId="11" applyFont="1" applyAlignment="1">
      <alignment horizontal="center"/>
    </xf>
    <xf numFmtId="0" fontId="88" fillId="0" borderId="2" xfId="16" applyFont="1" applyBorder="1" applyAlignment="1">
      <alignment horizontal="center"/>
    </xf>
    <xf numFmtId="0" fontId="88" fillId="0" borderId="10" xfId="16" applyFont="1" applyBorder="1" applyAlignment="1">
      <alignment horizontal="center" vertical="top" wrapText="1"/>
    </xf>
    <xf numFmtId="0" fontId="89" fillId="0" borderId="2" xfId="16" applyFont="1" applyBorder="1" applyAlignment="1">
      <alignment horizontal="center"/>
    </xf>
    <xf numFmtId="0" fontId="37" fillId="0" borderId="2" xfId="0" applyFont="1" applyBorder="1" applyAlignment="1">
      <alignment horizontal="left" vertical="top" wrapText="1"/>
    </xf>
    <xf numFmtId="0" fontId="10" fillId="0" borderId="2" xfId="9" applyFont="1" applyBorder="1" applyAlignment="1">
      <alignment horizontal="left"/>
    </xf>
    <xf numFmtId="0" fontId="10" fillId="0" borderId="2" xfId="9" applyFont="1" applyBorder="1" applyAlignment="1">
      <alignment horizontal="left" vertical="top" wrapText="1"/>
    </xf>
    <xf numFmtId="0" fontId="83" fillId="0" borderId="2" xfId="11" applyFont="1" applyBorder="1" applyAlignment="1">
      <alignment vertical="center" wrapText="1"/>
    </xf>
    <xf numFmtId="0" fontId="83" fillId="0" borderId="2" xfId="11" applyFont="1" applyBorder="1" applyAlignment="1">
      <alignment horizontal="right" vertical="center" wrapText="1"/>
    </xf>
    <xf numFmtId="0" fontId="74" fillId="0" borderId="2" xfId="4" applyBorder="1" applyAlignment="1" applyProtection="1">
      <alignment horizontal="right" vertical="center" wrapText="1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/>
    <xf numFmtId="2" fontId="16" fillId="2" borderId="2" xfId="0" applyNumberFormat="1" applyFont="1" applyFill="1" applyBorder="1" applyAlignment="1">
      <alignment horizontal="center" vertical="top" wrapText="1"/>
    </xf>
    <xf numFmtId="2" fontId="16" fillId="2" borderId="2" xfId="0" applyNumberFormat="1" applyFont="1" applyFill="1" applyBorder="1" applyAlignment="1">
      <alignment horizontal="right" vertical="top" wrapText="1"/>
    </xf>
    <xf numFmtId="0" fontId="16" fillId="2" borderId="2" xfId="0" applyFont="1" applyFill="1" applyBorder="1" applyAlignment="1">
      <alignment horizontal="right" vertical="top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right"/>
    </xf>
    <xf numFmtId="0" fontId="90" fillId="0" borderId="2" xfId="15" applyFont="1" applyBorder="1" applyAlignment="1">
      <alignment vertical="top" wrapText="1"/>
    </xf>
    <xf numFmtId="2" fontId="22" fillId="0" borderId="2" xfId="15" applyNumberFormat="1" applyFont="1" applyBorder="1" applyAlignment="1">
      <alignment horizontal="right" vertical="center" wrapText="1"/>
    </xf>
    <xf numFmtId="0" fontId="91" fillId="0" borderId="2" xfId="15" applyFont="1" applyBorder="1"/>
    <xf numFmtId="0" fontId="15" fillId="2" borderId="2" xfId="0" applyFont="1" applyFill="1" applyBorder="1" applyAlignment="1">
      <alignment horizontal="center"/>
    </xf>
    <xf numFmtId="0" fontId="90" fillId="0" borderId="2" xfId="9" applyFont="1" applyBorder="1" applyAlignment="1">
      <alignment horizontal="right" vertical="center"/>
    </xf>
    <xf numFmtId="0" fontId="90" fillId="0" borderId="2" xfId="9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18" applyFont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9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5" fillId="0" borderId="0" xfId="10" applyFont="1" applyAlignment="1">
      <alignment horizontal="center" vertical="top" wrapText="1"/>
    </xf>
    <xf numFmtId="0" fontId="10" fillId="0" borderId="0" xfId="0" applyFont="1"/>
    <xf numFmtId="0" fontId="10" fillId="0" borderId="0" xfId="17" applyAlignment="1">
      <alignment horizontal="left"/>
    </xf>
    <xf numFmtId="0" fontId="5" fillId="0" borderId="0" xfId="16" applyFont="1" applyAlignment="1">
      <alignment horizontal="right" vertical="top" wrapText="1"/>
    </xf>
    <xf numFmtId="0" fontId="10" fillId="0" borderId="0" xfId="16" applyFont="1"/>
    <xf numFmtId="0" fontId="20" fillId="0" borderId="0" xfId="30" applyFont="1" applyAlignment="1">
      <alignment horizontal="left"/>
    </xf>
    <xf numFmtId="0" fontId="3" fillId="0" borderId="0" xfId="30"/>
    <xf numFmtId="0" fontId="5" fillId="0" borderId="0" xfId="30" applyFont="1" applyAlignment="1">
      <alignment horizontal="center"/>
    </xf>
    <xf numFmtId="0" fontId="9" fillId="0" borderId="0" xfId="30" applyFont="1"/>
    <xf numFmtId="0" fontId="5" fillId="0" borderId="0" xfId="30" applyFont="1"/>
    <xf numFmtId="0" fontId="5" fillId="2" borderId="2" xfId="30" applyFont="1" applyFill="1" applyBorder="1" applyAlignment="1">
      <alignment horizontal="center" vertical="center"/>
    </xf>
    <xf numFmtId="0" fontId="5" fillId="0" borderId="2" xfId="30" applyFont="1" applyBorder="1" applyAlignment="1">
      <alignment horizontal="center" vertical="center"/>
    </xf>
    <xf numFmtId="0" fontId="39" fillId="0" borderId="2" xfId="11" applyFont="1" applyBorder="1" applyAlignment="1">
      <alignment horizontal="center" vertical="top" wrapText="1"/>
    </xf>
    <xf numFmtId="0" fontId="10" fillId="0" borderId="2" xfId="30" applyFont="1" applyBorder="1" applyAlignment="1">
      <alignment horizontal="center"/>
    </xf>
    <xf numFmtId="0" fontId="5" fillId="0" borderId="2" xfId="30" applyFont="1" applyBorder="1"/>
    <xf numFmtId="0" fontId="5" fillId="0" borderId="2" xfId="30" applyFont="1" applyBorder="1" applyAlignment="1">
      <alignment horizontal="right" vertical="center"/>
    </xf>
    <xf numFmtId="0" fontId="37" fillId="0" borderId="2" xfId="11" applyFont="1" applyBorder="1" applyAlignment="1">
      <alignment horizontal="left" vertical="top" wrapText="1"/>
    </xf>
    <xf numFmtId="0" fontId="37" fillId="4" borderId="2" xfId="11" applyFont="1" applyFill="1" applyBorder="1" applyAlignment="1">
      <alignment horizontal="right" vertical="center" wrapText="1"/>
    </xf>
    <xf numFmtId="0" fontId="92" fillId="4" borderId="2" xfId="11" applyFont="1" applyFill="1" applyBorder="1" applyAlignment="1">
      <alignment horizontal="center" wrapText="1"/>
    </xf>
    <xf numFmtId="0" fontId="92" fillId="5" borderId="2" xfId="11" applyFont="1" applyFill="1" applyBorder="1" applyAlignment="1">
      <alignment horizontal="center" wrapText="1"/>
    </xf>
    <xf numFmtId="0" fontId="10" fillId="0" borderId="2" xfId="11" applyBorder="1" applyAlignment="1">
      <alignment horizontal="center"/>
    </xf>
    <xf numFmtId="0" fontId="10" fillId="0" borderId="2" xfId="30" applyFont="1" applyBorder="1" applyAlignment="1">
      <alignment horizontal="left"/>
    </xf>
    <xf numFmtId="0" fontId="10" fillId="4" borderId="2" xfId="30" applyFont="1" applyFill="1" applyBorder="1" applyAlignment="1">
      <alignment horizontal="right" vertical="center"/>
    </xf>
    <xf numFmtId="0" fontId="10" fillId="0" borderId="0" xfId="30" applyFont="1"/>
    <xf numFmtId="0" fontId="10" fillId="0" borderId="2" xfId="30" applyFont="1" applyBorder="1" applyAlignment="1">
      <alignment horizontal="left" vertical="top" wrapText="1"/>
    </xf>
    <xf numFmtId="0" fontId="10" fillId="4" borderId="2" xfId="30" applyFont="1" applyFill="1" applyBorder="1" applyAlignment="1">
      <alignment horizontal="right" vertical="center" wrapText="1"/>
    </xf>
    <xf numFmtId="0" fontId="93" fillId="4" borderId="2" xfId="11" applyFont="1" applyFill="1" applyBorder="1" applyAlignment="1">
      <alignment horizontal="center" vertical="top" wrapText="1"/>
    </xf>
    <xf numFmtId="0" fontId="5" fillId="4" borderId="2" xfId="30" applyFont="1" applyFill="1" applyBorder="1" applyAlignment="1">
      <alignment horizontal="center"/>
    </xf>
    <xf numFmtId="0" fontId="5" fillId="4" borderId="2" xfId="30" applyFont="1" applyFill="1" applyBorder="1"/>
    <xf numFmtId="0" fontId="35" fillId="0" borderId="0" xfId="11" applyFont="1"/>
    <xf numFmtId="0" fontId="36" fillId="0" borderId="0" xfId="11" applyFont="1"/>
    <xf numFmtId="0" fontId="10" fillId="0" borderId="0" xfId="11" applyAlignment="1">
      <alignment horizontal="center"/>
    </xf>
    <xf numFmtId="0" fontId="61" fillId="0" borderId="0" xfId="11" applyFont="1" applyAlignment="1">
      <alignment horizontal="center" vertical="center"/>
    </xf>
    <xf numFmtId="0" fontId="62" fillId="0" borderId="2" xfId="11" applyFont="1" applyBorder="1" applyAlignment="1">
      <alignment vertical="top" wrapText="1"/>
    </xf>
    <xf numFmtId="0" fontId="62" fillId="0" borderId="2" xfId="11" applyFont="1" applyBorder="1" applyAlignment="1">
      <alignment horizontal="center" vertical="top" wrapText="1"/>
    </xf>
    <xf numFmtId="0" fontId="21" fillId="0" borderId="0" xfId="11" applyFont="1"/>
    <xf numFmtId="0" fontId="33" fillId="0" borderId="2" xfId="11" applyFont="1" applyBorder="1" applyAlignment="1">
      <alignment vertical="center"/>
    </xf>
    <xf numFmtId="0" fontId="33" fillId="0" borderId="2" xfId="11" applyFont="1" applyBorder="1" applyAlignment="1">
      <alignment vertical="center" wrapText="1"/>
    </xf>
    <xf numFmtId="0" fontId="33" fillId="0" borderId="2" xfId="11" applyFont="1" applyBorder="1" applyAlignment="1">
      <alignment horizontal="left" vertical="center" wrapText="1" indent="2"/>
    </xf>
    <xf numFmtId="0" fontId="33" fillId="0" borderId="0" xfId="11" applyFont="1" applyAlignment="1">
      <alignment horizontal="left" vertical="center" wrapText="1" indent="2"/>
    </xf>
    <xf numFmtId="0" fontId="33" fillId="0" borderId="0" xfId="11" applyFont="1" applyAlignment="1">
      <alignment vertical="center" wrapText="1"/>
    </xf>
    <xf numFmtId="0" fontId="21" fillId="0" borderId="2" xfId="11" applyFont="1" applyBorder="1" applyAlignment="1">
      <alignment horizontal="center" vertical="top" wrapText="1"/>
    </xf>
    <xf numFmtId="0" fontId="21" fillId="0" borderId="2" xfId="11" applyFont="1" applyBorder="1" applyAlignment="1">
      <alignment vertical="top" wrapText="1"/>
    </xf>
    <xf numFmtId="0" fontId="21" fillId="0" borderId="5" xfId="11" applyFont="1" applyBorder="1" applyAlignment="1">
      <alignment horizontal="center" vertical="top" wrapText="1"/>
    </xf>
    <xf numFmtId="0" fontId="33" fillId="0" borderId="5" xfId="11" applyFont="1" applyBorder="1" applyAlignment="1">
      <alignment vertical="center" wrapText="1"/>
    </xf>
    <xf numFmtId="0" fontId="21" fillId="0" borderId="2" xfId="11" applyFont="1" applyBorder="1"/>
    <xf numFmtId="0" fontId="10" fillId="0" borderId="2" xfId="11" applyBorder="1" applyAlignment="1">
      <alignment vertical="center"/>
    </xf>
    <xf numFmtId="0" fontId="21" fillId="0" borderId="2" xfId="11" applyFont="1" applyBorder="1" applyAlignment="1">
      <alignment vertical="center" wrapText="1"/>
    </xf>
    <xf numFmtId="0" fontId="33" fillId="0" borderId="2" xfId="11" applyFont="1" applyBorder="1" applyAlignment="1">
      <alignment horizontal="left" vertical="center" wrapText="1"/>
    </xf>
    <xf numFmtId="0" fontId="33" fillId="0" borderId="2" xfId="11" applyFont="1" applyBorder="1" applyAlignment="1">
      <alignment horizontal="right" vertical="center" wrapText="1"/>
    </xf>
    <xf numFmtId="0" fontId="33" fillId="0" borderId="5" xfId="11" applyFont="1" applyBorder="1" applyAlignment="1">
      <alignment horizontal="right" vertical="center" wrapText="1"/>
    </xf>
    <xf numFmtId="0" fontId="21" fillId="0" borderId="2" xfId="11" applyFont="1" applyBorder="1" applyAlignment="1">
      <alignment horizontal="right" vertical="center" wrapText="1"/>
    </xf>
    <xf numFmtId="0" fontId="33" fillId="0" borderId="2" xfId="11" applyFont="1" applyBorder="1" applyAlignment="1">
      <alignment horizontal="center" vertical="center" wrapText="1"/>
    </xf>
    <xf numFmtId="0" fontId="5" fillId="0" borderId="0" xfId="30" applyFont="1" applyAlignment="1">
      <alignment vertical="top" wrapText="1"/>
    </xf>
    <xf numFmtId="0" fontId="5" fillId="0" borderId="0" xfId="30" applyFont="1" applyAlignment="1">
      <alignment horizontal="center" vertical="top" wrapText="1"/>
    </xf>
    <xf numFmtId="0" fontId="67" fillId="0" borderId="3" xfId="9" applyFont="1" applyBorder="1" applyAlignment="1">
      <alignment vertical="center" wrapText="1"/>
    </xf>
    <xf numFmtId="0" fontId="3" fillId="0" borderId="2" xfId="9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94" fillId="0" borderId="3" xfId="9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94" fillId="0" borderId="3" xfId="9" applyNumberFormat="1" applyFont="1" applyBorder="1" applyAlignment="1">
      <alignment vertical="center" wrapText="1"/>
    </xf>
    <xf numFmtId="2" fontId="73" fillId="0" borderId="2" xfId="9" applyNumberFormat="1" applyBorder="1"/>
    <xf numFmtId="2" fontId="10" fillId="0" borderId="2" xfId="17" applyNumberFormat="1" applyBorder="1"/>
    <xf numFmtId="2" fontId="10" fillId="0" borderId="2" xfId="17" applyNumberFormat="1" applyFont="1" applyBorder="1" applyAlignment="1">
      <alignment horizontal="right" vertical="center" wrapText="1"/>
    </xf>
    <xf numFmtId="2" fontId="10" fillId="0" borderId="2" xfId="17" applyNumberFormat="1" applyFont="1" applyBorder="1" applyAlignment="1">
      <alignment horizontal="right" vertical="center"/>
    </xf>
    <xf numFmtId="0" fontId="5" fillId="0" borderId="0" xfId="19" applyFont="1" applyAlignment="1"/>
    <xf numFmtId="0" fontId="5" fillId="0" borderId="0" xfId="10" applyFont="1" applyAlignment="1">
      <alignment vertical="top" wrapText="1"/>
    </xf>
    <xf numFmtId="0" fontId="5" fillId="0" borderId="0" xfId="14" applyFont="1" applyAlignment="1">
      <alignment vertical="top" wrapText="1"/>
    </xf>
    <xf numFmtId="0" fontId="0" fillId="0" borderId="0" xfId="0" applyAlignment="1"/>
    <xf numFmtId="0" fontId="5" fillId="0" borderId="0" xfId="25" applyFont="1" applyAlignment="1"/>
    <xf numFmtId="0" fontId="10" fillId="0" borderId="0" xfId="16" applyAlignment="1"/>
    <xf numFmtId="0" fontId="5" fillId="0" borderId="0" xfId="30" applyFont="1" applyAlignment="1"/>
    <xf numFmtId="0" fontId="5" fillId="2" borderId="0" xfId="0" applyFont="1" applyFill="1" applyAlignment="1"/>
    <xf numFmtId="0" fontId="10" fillId="4" borderId="0" xfId="0" applyFont="1" applyFill="1"/>
    <xf numFmtId="0" fontId="15" fillId="4" borderId="0" xfId="0" applyFont="1" applyFill="1"/>
    <xf numFmtId="0" fontId="5" fillId="4" borderId="0" xfId="0" applyFont="1" applyFill="1"/>
    <xf numFmtId="0" fontId="5" fillId="4" borderId="0" xfId="0" applyFont="1" applyFill="1" applyAlignment="1"/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0" fontId="10" fillId="4" borderId="0" xfId="0" applyFont="1" applyFill="1" applyBorder="1"/>
    <xf numFmtId="0" fontId="20" fillId="4" borderId="0" xfId="0" applyFont="1" applyFill="1"/>
    <xf numFmtId="0" fontId="5" fillId="0" borderId="0" xfId="17" applyFont="1" applyAlignment="1"/>
    <xf numFmtId="0" fontId="10" fillId="0" borderId="0" xfId="17" applyAlignment="1"/>
    <xf numFmtId="0" fontId="9" fillId="0" borderId="0" xfId="17" applyFont="1" applyAlignment="1">
      <alignment vertical="top" wrapText="1"/>
    </xf>
    <xf numFmtId="0" fontId="5" fillId="0" borderId="0" xfId="16" applyFont="1" applyAlignment="1">
      <alignment vertical="top" wrapText="1"/>
    </xf>
    <xf numFmtId="0" fontId="5" fillId="0" borderId="2" xfId="11" applyFont="1" applyBorder="1" applyAlignment="1">
      <alignment horizontal="center" vertical="top" wrapText="1"/>
    </xf>
    <xf numFmtId="0" fontId="5" fillId="0" borderId="2" xfId="16" applyFont="1" applyBorder="1" applyAlignment="1">
      <alignment horizontal="center" vertical="top" wrapText="1"/>
    </xf>
    <xf numFmtId="0" fontId="10" fillId="0" borderId="0" xfId="16" applyAlignment="1">
      <alignment horizontal="left"/>
    </xf>
    <xf numFmtId="0" fontId="10" fillId="0" borderId="0" xfId="0" applyFont="1"/>
    <xf numFmtId="0" fontId="81" fillId="0" borderId="2" xfId="11" applyFont="1" applyBorder="1" applyAlignment="1">
      <alignment horizontal="left" wrapText="1"/>
    </xf>
    <xf numFmtId="0" fontId="81" fillId="0" borderId="2" xfId="11" applyFont="1" applyBorder="1" applyAlignment="1">
      <alignment horizontal="center" wrapText="1"/>
    </xf>
    <xf numFmtId="0" fontId="95" fillId="0" borderId="2" xfId="11" applyFont="1" applyBorder="1" applyAlignment="1">
      <alignment horizontal="center" vertical="center"/>
    </xf>
    <xf numFmtId="0" fontId="96" fillId="5" borderId="2" xfId="22" applyFont="1" applyFill="1" applyBorder="1" applyAlignment="1">
      <alignment horizontal="center" wrapText="1"/>
    </xf>
    <xf numFmtId="0" fontId="97" fillId="5" borderId="2" xfId="22" applyFont="1" applyFill="1" applyBorder="1" applyAlignment="1">
      <alignment horizontal="center" wrapText="1"/>
    </xf>
    <xf numFmtId="0" fontId="10" fillId="0" borderId="0" xfId="0" applyFont="1" applyAlignment="1"/>
    <xf numFmtId="0" fontId="100" fillId="0" borderId="2" xfId="11" applyFont="1" applyBorder="1" applyAlignment="1">
      <alignment horizontal="center" vertical="top" wrapText="1"/>
    </xf>
    <xf numFmtId="0" fontId="100" fillId="0" borderId="29" xfId="11" applyFont="1" applyBorder="1" applyAlignment="1">
      <alignment horizontal="center" wrapText="1"/>
    </xf>
    <xf numFmtId="0" fontId="100" fillId="0" borderId="30" xfId="11" applyFont="1" applyBorder="1" applyAlignment="1">
      <alignment horizontal="center" wrapText="1"/>
    </xf>
    <xf numFmtId="0" fontId="101" fillId="0" borderId="30" xfId="11" applyFont="1" applyBorder="1" applyAlignment="1">
      <alignment horizontal="center" wrapText="1"/>
    </xf>
    <xf numFmtId="0" fontId="101" fillId="0" borderId="29" xfId="11" applyFont="1" applyBorder="1" applyAlignment="1">
      <alignment horizontal="center" vertical="center" wrapText="1"/>
    </xf>
    <xf numFmtId="0" fontId="102" fillId="0" borderId="30" xfId="11" applyFont="1" applyBorder="1" applyAlignment="1">
      <alignment wrapText="1"/>
    </xf>
    <xf numFmtId="0" fontId="102" fillId="0" borderId="30" xfId="11" applyFont="1" applyBorder="1" applyAlignment="1">
      <alignment horizontal="center" wrapText="1"/>
    </xf>
    <xf numFmtId="0" fontId="103" fillId="0" borderId="30" xfId="11" applyFont="1" applyBorder="1" applyAlignment="1">
      <alignment horizontal="right" wrapText="1"/>
    </xf>
    <xf numFmtId="0" fontId="102" fillId="0" borderId="29" xfId="11" applyFont="1" applyBorder="1" applyAlignment="1">
      <alignment horizontal="center" vertical="center" wrapText="1"/>
    </xf>
    <xf numFmtId="0" fontId="102" fillId="0" borderId="30" xfId="11" applyFont="1" applyBorder="1" applyAlignment="1">
      <alignment horizontal="right" wrapText="1"/>
    </xf>
    <xf numFmtId="0" fontId="102" fillId="0" borderId="29" xfId="11" applyFont="1" applyBorder="1" applyAlignment="1">
      <alignment horizontal="right" wrapText="1"/>
    </xf>
    <xf numFmtId="0" fontId="102" fillId="0" borderId="31" xfId="11" applyFont="1" applyBorder="1" applyAlignment="1">
      <alignment wrapText="1"/>
    </xf>
    <xf numFmtId="0" fontId="102" fillId="0" borderId="2" xfId="11" applyFont="1" applyBorder="1" applyAlignment="1">
      <alignment horizontal="center" vertical="center" wrapText="1"/>
    </xf>
    <xf numFmtId="0" fontId="102" fillId="0" borderId="2" xfId="11" applyFont="1" applyBorder="1" applyAlignment="1">
      <alignment wrapText="1"/>
    </xf>
    <xf numFmtId="0" fontId="106" fillId="0" borderId="29" xfId="11" applyFont="1" applyBorder="1" applyAlignment="1">
      <alignment horizontal="center" wrapText="1"/>
    </xf>
    <xf numFmtId="0" fontId="106" fillId="0" borderId="30" xfId="11" applyFont="1" applyBorder="1" applyAlignment="1">
      <alignment vertical="top" wrapText="1"/>
    </xf>
    <xf numFmtId="0" fontId="100" fillId="0" borderId="30" xfId="11" applyFont="1" applyBorder="1" applyAlignment="1">
      <alignment horizontal="right" vertical="center" wrapText="1"/>
    </xf>
    <xf numFmtId="0" fontId="107" fillId="0" borderId="30" xfId="11" applyFont="1" applyBorder="1" applyAlignment="1">
      <alignment horizontal="right" wrapText="1"/>
    </xf>
    <xf numFmtId="0" fontId="5" fillId="0" borderId="0" xfId="11" applyFont="1" applyAlignment="1">
      <alignment vertical="top" wrapText="1"/>
    </xf>
    <xf numFmtId="0" fontId="100" fillId="0" borderId="29" xfId="11" applyFont="1" applyBorder="1" applyAlignment="1">
      <alignment vertical="top" wrapText="1"/>
    </xf>
    <xf numFmtId="0" fontId="100" fillId="0" borderId="30" xfId="11" applyFont="1" applyBorder="1" applyAlignment="1">
      <alignment vertical="top" wrapText="1"/>
    </xf>
    <xf numFmtId="0" fontId="101" fillId="0" borderId="29" xfId="11" applyFont="1" applyBorder="1" applyAlignment="1">
      <alignment horizontal="center" vertical="top" wrapText="1"/>
    </xf>
    <xf numFmtId="0" fontId="102" fillId="0" borderId="30" xfId="11" applyFont="1" applyBorder="1" applyAlignment="1">
      <alignment vertical="top" wrapText="1"/>
    </xf>
    <xf numFmtId="0" fontId="102" fillId="0" borderId="30" xfId="11" applyFont="1" applyBorder="1" applyAlignment="1">
      <alignment horizontal="center" vertical="top" wrapText="1"/>
    </xf>
    <xf numFmtId="0" fontId="103" fillId="0" borderId="30" xfId="11" applyFont="1" applyBorder="1" applyAlignment="1">
      <alignment horizontal="right" vertical="top" wrapText="1"/>
    </xf>
    <xf numFmtId="0" fontId="101" fillId="0" borderId="29" xfId="11" applyFont="1" applyBorder="1" applyAlignment="1">
      <alignment horizontal="center" wrapText="1"/>
    </xf>
    <xf numFmtId="0" fontId="102" fillId="0" borderId="29" xfId="11" applyFont="1" applyBorder="1" applyAlignment="1">
      <alignment horizontal="center" wrapText="1"/>
    </xf>
    <xf numFmtId="0" fontId="103" fillId="0" borderId="30" xfId="11" applyFont="1" applyBorder="1" applyAlignment="1">
      <alignment horizontal="right" vertical="center" wrapText="1"/>
    </xf>
    <xf numFmtId="0" fontId="102" fillId="0" borderId="35" xfId="11" applyFont="1" applyBorder="1" applyAlignment="1">
      <alignment wrapText="1"/>
    </xf>
    <xf numFmtId="0" fontId="102" fillId="0" borderId="35" xfId="11" applyFont="1" applyBorder="1" applyAlignment="1">
      <alignment horizontal="right" wrapText="1"/>
    </xf>
    <xf numFmtId="0" fontId="103" fillId="0" borderId="35" xfId="11" applyFont="1" applyBorder="1" applyAlignment="1">
      <alignment horizontal="right" wrapText="1"/>
    </xf>
    <xf numFmtId="0" fontId="102" fillId="0" borderId="2" xfId="11" applyFont="1" applyBorder="1" applyAlignment="1">
      <alignment horizontal="right" wrapText="1"/>
    </xf>
    <xf numFmtId="0" fontId="103" fillId="0" borderId="2" xfId="11" applyFont="1" applyBorder="1" applyAlignment="1">
      <alignment horizontal="right" wrapText="1"/>
    </xf>
    <xf numFmtId="0" fontId="106" fillId="0" borderId="3" xfId="11" applyFont="1" applyBorder="1" applyAlignment="1">
      <alignment horizontal="center" wrapText="1"/>
    </xf>
    <xf numFmtId="0" fontId="106" fillId="0" borderId="3" xfId="11" applyFont="1" applyBorder="1" applyAlignment="1">
      <alignment vertical="top" wrapText="1"/>
    </xf>
    <xf numFmtId="0" fontId="107" fillId="0" borderId="3" xfId="11" applyFont="1" applyBorder="1" applyAlignment="1">
      <alignment horizontal="right" wrapText="1"/>
    </xf>
    <xf numFmtId="0" fontId="5" fillId="0" borderId="0" xfId="11" applyFont="1" applyAlignment="1">
      <alignment horizontal="center" vertical="top" wrapText="1"/>
    </xf>
    <xf numFmtId="0" fontId="102" fillId="0" borderId="30" xfId="11" applyFont="1" applyBorder="1" applyAlignment="1">
      <alignment vertical="center" wrapText="1"/>
    </xf>
    <xf numFmtId="0" fontId="102" fillId="0" borderId="2" xfId="11" applyFont="1" applyBorder="1" applyAlignment="1">
      <alignment vertical="center" wrapText="1"/>
    </xf>
    <xf numFmtId="0" fontId="53" fillId="0" borderId="2" xfId="9" applyFont="1" applyBorder="1"/>
    <xf numFmtId="0" fontId="2" fillId="0" borderId="2" xfId="9" applyFont="1" applyBorder="1"/>
    <xf numFmtId="0" fontId="20" fillId="0" borderId="1" xfId="0" applyFont="1" applyBorder="1" applyAlignment="1">
      <alignment horizontal="center" vertical="top" wrapText="1"/>
    </xf>
    <xf numFmtId="0" fontId="30" fillId="0" borderId="1" xfId="9" applyFont="1" applyBorder="1" applyAlignment="1">
      <alignment horizontal="center" vertical="top" wrapText="1"/>
    </xf>
    <xf numFmtId="0" fontId="30" fillId="0" borderId="1" xfId="9" applyFont="1" applyBorder="1" applyAlignment="1">
      <alignment horizontal="center"/>
    </xf>
    <xf numFmtId="0" fontId="109" fillId="5" borderId="2" xfId="0" applyFont="1" applyFill="1" applyBorder="1" applyAlignment="1">
      <alignment horizontal="right" vertical="center" wrapText="1"/>
    </xf>
    <xf numFmtId="0" fontId="110" fillId="0" borderId="2" xfId="9" applyFont="1" applyBorder="1"/>
    <xf numFmtId="0" fontId="10" fillId="2" borderId="2" xfId="0" applyFont="1" applyFill="1" applyBorder="1" applyAlignment="1">
      <alignment horizontal="right" vertical="center"/>
    </xf>
    <xf numFmtId="0" fontId="110" fillId="0" borderId="2" xfId="9" applyFont="1" applyBorder="1" applyAlignment="1">
      <alignment horizontal="right" vertical="center"/>
    </xf>
    <xf numFmtId="2" fontId="110" fillId="0" borderId="2" xfId="9" applyNumberFormat="1" applyFont="1" applyBorder="1" applyAlignment="1">
      <alignment horizontal="right" vertical="center"/>
    </xf>
    <xf numFmtId="2" fontId="16" fillId="2" borderId="2" xfId="0" applyNumberFormat="1" applyFont="1" applyFill="1" applyBorder="1"/>
    <xf numFmtId="2" fontId="9" fillId="0" borderId="2" xfId="0" applyNumberFormat="1" applyFont="1" applyBorder="1"/>
    <xf numFmtId="0" fontId="15" fillId="0" borderId="2" xfId="0" applyFont="1" applyBorder="1" applyAlignment="1">
      <alignment wrapText="1"/>
    </xf>
    <xf numFmtId="2" fontId="15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2" fontId="16" fillId="2" borderId="2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2" fontId="15" fillId="2" borderId="2" xfId="0" applyNumberFormat="1" applyFont="1" applyFill="1" applyBorder="1"/>
    <xf numFmtId="0" fontId="114" fillId="0" borderId="2" xfId="0" applyFont="1" applyBorder="1"/>
    <xf numFmtId="0" fontId="114" fillId="0" borderId="2" xfId="0" applyFont="1" applyFill="1" applyBorder="1"/>
    <xf numFmtId="0" fontId="114" fillId="0" borderId="2" xfId="0" applyFont="1" applyBorder="1" applyAlignment="1">
      <alignment vertical="center"/>
    </xf>
    <xf numFmtId="2" fontId="114" fillId="0" borderId="2" xfId="0" applyNumberFormat="1" applyFont="1" applyBorder="1"/>
    <xf numFmtId="0" fontId="115" fillId="0" borderId="2" xfId="0" applyFont="1" applyBorder="1"/>
    <xf numFmtId="2" fontId="115" fillId="0" borderId="2" xfId="0" applyNumberFormat="1" applyFont="1" applyBorder="1"/>
    <xf numFmtId="0" fontId="114" fillId="0" borderId="2" xfId="0" applyFont="1" applyBorder="1" applyAlignment="1">
      <alignment horizontal="center" vertical="center"/>
    </xf>
    <xf numFmtId="0" fontId="112" fillId="0" borderId="2" xfId="0" applyFont="1" applyBorder="1" applyAlignment="1">
      <alignment horizontal="center" vertical="top" wrapText="1"/>
    </xf>
    <xf numFmtId="0" fontId="113" fillId="0" borderId="2" xfId="0" applyFont="1" applyBorder="1" applyAlignment="1">
      <alignment vertical="center"/>
    </xf>
    <xf numFmtId="0" fontId="113" fillId="0" borderId="2" xfId="0" applyFont="1" applyBorder="1" applyAlignment="1">
      <alignment horizontal="center" vertical="center"/>
    </xf>
    <xf numFmtId="0" fontId="113" fillId="0" borderId="2" xfId="0" applyFont="1" applyBorder="1" applyAlignment="1">
      <alignment vertical="center" wrapText="1"/>
    </xf>
    <xf numFmtId="2" fontId="113" fillId="0" borderId="2" xfId="0" applyNumberFormat="1" applyFont="1" applyBorder="1" applyAlignment="1">
      <alignment vertical="center"/>
    </xf>
    <xf numFmtId="0" fontId="118" fillId="0" borderId="2" xfId="0" applyFont="1" applyBorder="1" applyAlignment="1">
      <alignment wrapText="1"/>
    </xf>
    <xf numFmtId="0" fontId="14" fillId="0" borderId="2" xfId="0" applyFont="1" applyBorder="1"/>
    <xf numFmtId="2" fontId="14" fillId="0" borderId="2" xfId="0" applyNumberFormat="1" applyFont="1" applyBorder="1"/>
    <xf numFmtId="0" fontId="113" fillId="0" borderId="2" xfId="0" applyFont="1" applyBorder="1"/>
    <xf numFmtId="0" fontId="113" fillId="0" borderId="2" xfId="0" applyFont="1" applyBorder="1" applyAlignment="1">
      <alignment horizontal="center" vertical="center" wrapText="1"/>
    </xf>
    <xf numFmtId="0" fontId="7" fillId="0" borderId="0" xfId="11" applyFont="1" applyAlignment="1"/>
    <xf numFmtId="0" fontId="10" fillId="2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/>
    </xf>
    <xf numFmtId="1" fontId="114" fillId="0" borderId="2" xfId="0" applyNumberFormat="1" applyFont="1" applyBorder="1"/>
    <xf numFmtId="1" fontId="115" fillId="0" borderId="2" xfId="0" applyNumberFormat="1" applyFont="1" applyBorder="1"/>
    <xf numFmtId="0" fontId="121" fillId="0" borderId="2" xfId="0" applyFont="1" applyBorder="1" applyAlignment="1">
      <alignment vertical="center"/>
    </xf>
    <xf numFmtId="0" fontId="113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12" fillId="0" borderId="2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left" wrapText="1"/>
    </xf>
    <xf numFmtId="0" fontId="10" fillId="2" borderId="2" xfId="11" quotePrefix="1" applyFont="1" applyFill="1" applyBorder="1" applyAlignment="1">
      <alignment horizontal="right" vertical="center" wrapText="1"/>
    </xf>
    <xf numFmtId="0" fontId="10" fillId="0" borderId="2" xfId="11" quotePrefix="1" applyFont="1" applyBorder="1" applyAlignment="1">
      <alignment horizontal="right" vertical="center" wrapText="1"/>
    </xf>
    <xf numFmtId="0" fontId="10" fillId="4" borderId="2" xfId="11" applyFont="1" applyFill="1" applyBorder="1" applyAlignment="1">
      <alignment horizontal="right" vertical="center"/>
    </xf>
    <xf numFmtId="0" fontId="10" fillId="2" borderId="2" xfId="11" applyFont="1" applyFill="1" applyBorder="1" applyAlignment="1">
      <alignment horizontal="right" vertical="center"/>
    </xf>
    <xf numFmtId="0" fontId="10" fillId="0" borderId="2" xfId="11" applyFont="1" applyBorder="1" applyAlignment="1">
      <alignment horizontal="right" vertical="center"/>
    </xf>
    <xf numFmtId="0" fontId="10" fillId="0" borderId="2" xfId="1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37" fillId="0" borderId="2" xfId="0" quotePrefix="1" applyFont="1" applyBorder="1" applyAlignment="1">
      <alignment vertical="center" wrapText="1"/>
    </xf>
    <xf numFmtId="0" fontId="37" fillId="0" borderId="2" xfId="0" quotePrefix="1" applyFont="1" applyBorder="1" applyAlignment="1">
      <alignment vertical="top" wrapText="1"/>
    </xf>
    <xf numFmtId="0" fontId="5" fillId="0" borderId="2" xfId="0" applyFont="1" applyBorder="1" applyAlignment="1">
      <alignment horizontal="right" vertical="center"/>
    </xf>
    <xf numFmtId="3" fontId="0" fillId="0" borderId="0" xfId="0" applyNumberFormat="1"/>
    <xf numFmtId="3" fontId="5" fillId="0" borderId="2" xfId="0" applyNumberFormat="1" applyFont="1" applyBorder="1" applyAlignment="1">
      <alignment horizontal="right" vertical="center"/>
    </xf>
    <xf numFmtId="0" fontId="125" fillId="7" borderId="18" xfId="0" applyFont="1" applyFill="1" applyBorder="1" applyAlignment="1">
      <alignment horizontal="center" vertical="center" wrapText="1" readingOrder="1"/>
    </xf>
    <xf numFmtId="0" fontId="127" fillId="7" borderId="18" xfId="0" applyFont="1" applyFill="1" applyBorder="1" applyAlignment="1">
      <alignment horizontal="center" vertical="center" wrapText="1" readingOrder="1"/>
    </xf>
    <xf numFmtId="0" fontId="122" fillId="7" borderId="18" xfId="0" applyFont="1" applyFill="1" applyBorder="1" applyAlignment="1">
      <alignment horizontal="left" vertical="center" wrapText="1" readingOrder="1"/>
    </xf>
    <xf numFmtId="0" fontId="122" fillId="7" borderId="18" xfId="0" applyFont="1" applyFill="1" applyBorder="1" applyAlignment="1">
      <alignment horizontal="right" vertical="center" wrapText="1" readingOrder="1"/>
    </xf>
    <xf numFmtId="0" fontId="122" fillId="7" borderId="18" xfId="0" applyFont="1" applyFill="1" applyBorder="1" applyAlignment="1">
      <alignment horizontal="left" wrapText="1" readingOrder="1"/>
    </xf>
    <xf numFmtId="0" fontId="124" fillId="8" borderId="40" xfId="0" applyFont="1" applyFill="1" applyBorder="1" applyAlignment="1">
      <alignment horizontal="right" vertical="center" wrapText="1" readingOrder="1"/>
    </xf>
    <xf numFmtId="0" fontId="128" fillId="0" borderId="18" xfId="0" applyFont="1" applyBorder="1" applyAlignment="1">
      <alignment horizontal="center" vertical="center" wrapText="1" readingOrder="1"/>
    </xf>
    <xf numFmtId="0" fontId="128" fillId="0" borderId="18" xfId="0" applyFont="1" applyBorder="1" applyAlignment="1">
      <alignment horizontal="left" vertical="center" wrapText="1" readingOrder="1"/>
    </xf>
    <xf numFmtId="0" fontId="130" fillId="0" borderId="18" xfId="0" applyFont="1" applyBorder="1" applyAlignment="1">
      <alignment horizontal="right" vertical="center" wrapText="1" readingOrder="1"/>
    </xf>
    <xf numFmtId="0" fontId="124" fillId="7" borderId="38" xfId="0" applyFont="1" applyFill="1" applyBorder="1" applyAlignment="1">
      <alignment horizontal="left" wrapText="1" readingOrder="1"/>
    </xf>
    <xf numFmtId="0" fontId="122" fillId="9" borderId="36" xfId="0" applyFont="1" applyFill="1" applyBorder="1" applyAlignment="1">
      <alignment horizontal="left" wrapText="1" readingOrder="1"/>
    </xf>
    <xf numFmtId="0" fontId="122" fillId="10" borderId="36" xfId="0" applyFont="1" applyFill="1" applyBorder="1" applyAlignment="1">
      <alignment horizontal="left" wrapText="1" readingOrder="1"/>
    </xf>
    <xf numFmtId="0" fontId="122" fillId="9" borderId="2" xfId="0" applyFont="1" applyFill="1" applyBorder="1" applyAlignment="1">
      <alignment horizontal="right" vertical="center" wrapText="1" readingOrder="1"/>
    </xf>
    <xf numFmtId="0" fontId="122" fillId="10" borderId="2" xfId="0" applyFont="1" applyFill="1" applyBorder="1" applyAlignment="1">
      <alignment horizontal="right" vertical="center" wrapText="1" readingOrder="1"/>
    </xf>
    <xf numFmtId="0" fontId="124" fillId="9" borderId="2" xfId="0" applyFont="1" applyFill="1" applyBorder="1" applyAlignment="1">
      <alignment horizontal="right" vertical="center" wrapText="1" readingOrder="1"/>
    </xf>
    <xf numFmtId="0" fontId="124" fillId="10" borderId="2" xfId="0" applyFont="1" applyFill="1" applyBorder="1" applyAlignment="1">
      <alignment horizontal="right" vertical="center" wrapText="1" readingOrder="1"/>
    </xf>
    <xf numFmtId="3" fontId="124" fillId="9" borderId="2" xfId="0" applyNumberFormat="1" applyFont="1" applyFill="1" applyBorder="1" applyAlignment="1">
      <alignment horizontal="right" vertical="center" wrapText="1" readingOrder="1"/>
    </xf>
    <xf numFmtId="0" fontId="131" fillId="7" borderId="38" xfId="0" applyFont="1" applyFill="1" applyBorder="1" applyAlignment="1">
      <alignment horizontal="left" vertical="center" wrapText="1" readingOrder="1"/>
    </xf>
    <xf numFmtId="0" fontId="131" fillId="9" borderId="2" xfId="0" applyFont="1" applyFill="1" applyBorder="1" applyAlignment="1">
      <alignment horizontal="right" vertical="center" wrapText="1" readingOrder="1"/>
    </xf>
    <xf numFmtId="0" fontId="131" fillId="10" borderId="2" xfId="0" applyFont="1" applyFill="1" applyBorder="1" applyAlignment="1">
      <alignment horizontal="right" vertical="center" wrapText="1" readingOrder="1"/>
    </xf>
    <xf numFmtId="2" fontId="122" fillId="9" borderId="2" xfId="0" applyNumberFormat="1" applyFont="1" applyFill="1" applyBorder="1" applyAlignment="1">
      <alignment horizontal="right" vertical="center" wrapText="1" readingOrder="1"/>
    </xf>
    <xf numFmtId="2" fontId="131" fillId="9" borderId="2" xfId="0" applyNumberFormat="1" applyFont="1" applyFill="1" applyBorder="1" applyAlignment="1">
      <alignment horizontal="right" vertical="center" wrapText="1" readingOrder="1"/>
    </xf>
    <xf numFmtId="0" fontId="122" fillId="7" borderId="38" xfId="0" applyFont="1" applyFill="1" applyBorder="1" applyAlignment="1">
      <alignment horizontal="left" wrapText="1" readingOrder="1"/>
    </xf>
    <xf numFmtId="0" fontId="132" fillId="7" borderId="38" xfId="0" applyFont="1" applyFill="1" applyBorder="1" applyAlignment="1">
      <alignment horizontal="left" wrapText="1" readingOrder="1"/>
    </xf>
    <xf numFmtId="0" fontId="124" fillId="7" borderId="18" xfId="0" applyFont="1" applyFill="1" applyBorder="1" applyAlignment="1">
      <alignment horizontal="center" vertical="center" wrapText="1" readingOrder="1"/>
    </xf>
    <xf numFmtId="0" fontId="112" fillId="10" borderId="2" xfId="0" applyFont="1" applyFill="1" applyBorder="1" applyAlignment="1">
      <alignment vertical="center"/>
    </xf>
    <xf numFmtId="2" fontId="131" fillId="10" borderId="2" xfId="0" applyNumberFormat="1" applyFont="1" applyFill="1" applyBorder="1" applyAlignment="1">
      <alignment horizontal="right" vertical="center" wrapText="1" readingOrder="1"/>
    </xf>
    <xf numFmtId="2" fontId="122" fillId="10" borderId="2" xfId="0" applyNumberFormat="1" applyFont="1" applyFill="1" applyBorder="1" applyAlignment="1">
      <alignment horizontal="right" vertical="center" wrapText="1" readingOrder="1"/>
    </xf>
    <xf numFmtId="2" fontId="0" fillId="0" borderId="0" xfId="0" applyNumberFormat="1"/>
    <xf numFmtId="0" fontId="10" fillId="0" borderId="2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33" fillId="0" borderId="2" xfId="0" applyFont="1" applyBorder="1" applyAlignment="1">
      <alignment vertical="center" wrapText="1"/>
    </xf>
    <xf numFmtId="2" fontId="10" fillId="0" borderId="0" xfId="9" applyNumberFormat="1" applyFont="1"/>
    <xf numFmtId="2" fontId="39" fillId="0" borderId="3" xfId="0" applyNumberFormat="1" applyFont="1" applyBorder="1" applyAlignment="1">
      <alignment horizontal="right" vertical="top" wrapText="1"/>
    </xf>
    <xf numFmtId="0" fontId="10" fillId="0" borderId="2" xfId="0" quotePrefix="1" applyFont="1" applyBorder="1" applyAlignment="1">
      <alignment horizontal="right" vertical="top" wrapText="1"/>
    </xf>
    <xf numFmtId="0" fontId="88" fillId="0" borderId="2" xfId="11" applyFont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0" borderId="0" xfId="0" applyFont="1"/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5" fillId="0" borderId="0" xfId="9" applyFont="1" applyAlignment="1">
      <alignment horizontal="center" vertical="top" wrapText="1"/>
    </xf>
    <xf numFmtId="0" fontId="5" fillId="0" borderId="0" xfId="9" applyFont="1" applyAlignment="1">
      <alignment horizontal="left"/>
    </xf>
    <xf numFmtId="0" fontId="16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0" fillId="0" borderId="5" xfId="0" quotePrefix="1" applyFont="1" applyBorder="1" applyAlignment="1">
      <alignment horizontal="center" vertical="top" wrapText="1"/>
    </xf>
    <xf numFmtId="0" fontId="20" fillId="0" borderId="6" xfId="0" quotePrefix="1" applyFont="1" applyBorder="1" applyAlignment="1">
      <alignment horizontal="center" vertical="top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2" xfId="0" quotePrefix="1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0" fillId="0" borderId="9" xfId="0" quotePrefix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8" fillId="0" borderId="2" xfId="19" applyFont="1" applyBorder="1" applyAlignment="1">
      <alignment horizontal="center" vertical="top" wrapText="1"/>
    </xf>
    <xf numFmtId="0" fontId="18" fillId="0" borderId="2" xfId="19" applyFont="1" applyBorder="1" applyAlignment="1">
      <alignment horizontal="center" vertical="center" wrapText="1"/>
    </xf>
    <xf numFmtId="0" fontId="18" fillId="0" borderId="12" xfId="19" applyFont="1" applyBorder="1" applyAlignment="1">
      <alignment horizontal="center" vertical="top" wrapText="1"/>
    </xf>
    <xf numFmtId="0" fontId="18" fillId="0" borderId="14" xfId="19" applyFont="1" applyBorder="1" applyAlignment="1">
      <alignment horizontal="center" vertical="top" wrapText="1"/>
    </xf>
    <xf numFmtId="0" fontId="18" fillId="0" borderId="15" xfId="19" applyFont="1" applyBorder="1" applyAlignment="1">
      <alignment horizontal="center" vertical="top" wrapText="1"/>
    </xf>
    <xf numFmtId="0" fontId="18" fillId="0" borderId="8" xfId="19" applyFont="1" applyBorder="1" applyAlignment="1">
      <alignment horizontal="center" vertical="top" wrapText="1"/>
    </xf>
    <xf numFmtId="0" fontId="18" fillId="0" borderId="7" xfId="19" applyFont="1" applyBorder="1" applyAlignment="1">
      <alignment horizontal="center" vertical="top" wrapText="1"/>
    </xf>
    <xf numFmtId="0" fontId="18" fillId="0" borderId="16" xfId="19" applyFont="1" applyBorder="1" applyAlignment="1">
      <alignment horizontal="center" vertical="top" wrapText="1"/>
    </xf>
    <xf numFmtId="0" fontId="18" fillId="0" borderId="1" xfId="19" applyFont="1" applyBorder="1" applyAlignment="1">
      <alignment horizontal="center" vertical="center" wrapText="1"/>
    </xf>
    <xf numFmtId="0" fontId="18" fillId="0" borderId="10" xfId="19" applyFont="1" applyBorder="1" applyAlignment="1">
      <alignment horizontal="center" vertical="center" wrapText="1"/>
    </xf>
    <xf numFmtId="0" fontId="18" fillId="0" borderId="3" xfId="19" applyFont="1" applyBorder="1" applyAlignment="1">
      <alignment horizontal="center" vertical="center" wrapText="1"/>
    </xf>
    <xf numFmtId="0" fontId="18" fillId="0" borderId="12" xfId="19" applyFont="1" applyBorder="1" applyAlignment="1">
      <alignment horizontal="center" vertical="center" wrapText="1"/>
    </xf>
    <xf numFmtId="0" fontId="18" fillId="0" borderId="14" xfId="19" applyFont="1" applyBorder="1" applyAlignment="1">
      <alignment horizontal="center" vertical="center" wrapText="1"/>
    </xf>
    <xf numFmtId="0" fontId="18" fillId="0" borderId="15" xfId="19" applyFont="1" applyBorder="1" applyAlignment="1">
      <alignment horizontal="center" vertical="center" wrapText="1"/>
    </xf>
    <xf numFmtId="0" fontId="18" fillId="0" borderId="8" xfId="19" applyFont="1" applyBorder="1" applyAlignment="1">
      <alignment horizontal="center" vertical="center" wrapText="1"/>
    </xf>
    <xf numFmtId="0" fontId="18" fillId="0" borderId="7" xfId="19" applyFont="1" applyBorder="1" applyAlignment="1">
      <alignment horizontal="center" vertical="center" wrapText="1"/>
    </xf>
    <xf numFmtId="0" fontId="18" fillId="0" borderId="16" xfId="19" applyFont="1" applyBorder="1" applyAlignment="1">
      <alignment horizontal="center" vertical="center" wrapText="1"/>
    </xf>
    <xf numFmtId="0" fontId="14" fillId="0" borderId="0" xfId="16" applyFont="1" applyAlignment="1">
      <alignment horizontal="center"/>
    </xf>
    <xf numFmtId="0" fontId="8" fillId="0" borderId="0" xfId="16" applyFont="1" applyAlignment="1">
      <alignment horizontal="center"/>
    </xf>
    <xf numFmtId="0" fontId="29" fillId="0" borderId="0" xfId="16" applyFont="1" applyAlignment="1">
      <alignment horizontal="center"/>
    </xf>
    <xf numFmtId="0" fontId="34" fillId="0" borderId="0" xfId="16" applyFont="1" applyAlignment="1">
      <alignment horizontal="center"/>
    </xf>
    <xf numFmtId="0" fontId="5" fillId="0" borderId="0" xfId="19" applyFont="1" applyAlignment="1">
      <alignment horizontal="left"/>
    </xf>
    <xf numFmtId="0" fontId="20" fillId="0" borderId="7" xfId="19" applyFont="1" applyBorder="1" applyAlignment="1">
      <alignment horizontal="right"/>
    </xf>
    <xf numFmtId="0" fontId="15" fillId="0" borderId="5" xfId="19" applyFont="1" applyBorder="1" applyAlignment="1">
      <alignment horizontal="center" vertical="top" wrapText="1"/>
    </xf>
    <xf numFmtId="0" fontId="15" fillId="0" borderId="6" xfId="19" applyFont="1" applyBorder="1" applyAlignment="1">
      <alignment horizontal="center" vertical="top" wrapText="1"/>
    </xf>
    <xf numFmtId="0" fontId="16" fillId="0" borderId="0" xfId="19" applyFont="1" applyAlignment="1">
      <alignment horizontal="left"/>
    </xf>
    <xf numFmtId="0" fontId="5" fillId="0" borderId="0" xfId="9" applyFont="1" applyAlignment="1">
      <alignment horizontal="center"/>
    </xf>
    <xf numFmtId="0" fontId="63" fillId="0" borderId="0" xfId="16" applyFont="1" applyAlignment="1">
      <alignment horizontal="left" vertical="center"/>
    </xf>
    <xf numFmtId="0" fontId="50" fillId="0" borderId="0" xfId="16" applyFont="1" applyAlignment="1">
      <alignment horizontal="left" vertical="center" wrapText="1"/>
    </xf>
    <xf numFmtId="0" fontId="63" fillId="0" borderId="0" xfId="16" applyFont="1" applyAlignment="1">
      <alignment horizontal="left" vertical="center" wrapText="1"/>
    </xf>
    <xf numFmtId="0" fontId="20" fillId="0" borderId="7" xfId="16" applyFont="1" applyBorder="1" applyAlignment="1">
      <alignment horizontal="right"/>
    </xf>
    <xf numFmtId="0" fontId="5" fillId="0" borderId="2" xfId="16" applyFont="1" applyBorder="1" applyAlignment="1">
      <alignment horizontal="center" vertical="center" wrapText="1"/>
    </xf>
    <xf numFmtId="0" fontId="5" fillId="2" borderId="2" xfId="16" applyFont="1" applyFill="1" applyBorder="1" applyAlignment="1">
      <alignment horizontal="center" vertical="center" wrapText="1"/>
    </xf>
    <xf numFmtId="0" fontId="65" fillId="2" borderId="2" xfId="16" applyFont="1" applyFill="1" applyBorder="1" applyAlignment="1">
      <alignment horizontal="center" vertical="center" wrapText="1"/>
    </xf>
    <xf numFmtId="0" fontId="38" fillId="0" borderId="2" xfId="16" applyFont="1" applyBorder="1" applyAlignment="1">
      <alignment horizontal="left"/>
    </xf>
    <xf numFmtId="0" fontId="35" fillId="0" borderId="0" xfId="16" applyFont="1" applyAlignment="1">
      <alignment horizontal="center"/>
    </xf>
    <xf numFmtId="0" fontId="36" fillId="0" borderId="0" xfId="16" applyFont="1" applyAlignment="1">
      <alignment horizontal="center"/>
    </xf>
    <xf numFmtId="0" fontId="35" fillId="0" borderId="0" xfId="16" applyFont="1" applyAlignment="1">
      <alignment horizontal="center" wrapText="1"/>
    </xf>
    <xf numFmtId="0" fontId="17" fillId="0" borderId="0" xfId="16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0" fillId="0" borderId="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10" fillId="0" borderId="0" xfId="0" applyFont="1"/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5" fillId="0" borderId="2" xfId="9" applyFont="1" applyBorder="1" applyAlignment="1">
      <alignment horizontal="center" vertical="top" wrapText="1"/>
    </xf>
    <xf numFmtId="0" fontId="5" fillId="2" borderId="1" xfId="9" applyFont="1" applyFill="1" applyBorder="1" applyAlignment="1">
      <alignment horizontal="center" vertical="top" wrapText="1"/>
    </xf>
    <xf numFmtId="0" fontId="5" fillId="2" borderId="10" xfId="9" applyFont="1" applyFill="1" applyBorder="1" applyAlignment="1">
      <alignment horizontal="center" vertical="top" wrapText="1"/>
    </xf>
    <xf numFmtId="0" fontId="5" fillId="2" borderId="3" xfId="9" applyFont="1" applyFill="1" applyBorder="1" applyAlignment="1">
      <alignment horizontal="center" vertical="top" wrapText="1"/>
    </xf>
    <xf numFmtId="0" fontId="11" fillId="0" borderId="0" xfId="9" applyFont="1" applyBorder="1" applyAlignment="1">
      <alignment horizontal="left"/>
    </xf>
    <xf numFmtId="0" fontId="5" fillId="0" borderId="1" xfId="9" applyFont="1" applyBorder="1" applyAlignment="1">
      <alignment horizontal="center" vertical="top" wrapText="1"/>
    </xf>
    <xf numFmtId="0" fontId="5" fillId="0" borderId="10" xfId="9" applyFont="1" applyBorder="1" applyAlignment="1">
      <alignment horizontal="center" vertical="top" wrapText="1"/>
    </xf>
    <xf numFmtId="0" fontId="5" fillId="0" borderId="3" xfId="9" applyFont="1" applyBorder="1" applyAlignment="1">
      <alignment horizontal="center" vertical="top" wrapText="1"/>
    </xf>
    <xf numFmtId="0" fontId="5" fillId="0" borderId="2" xfId="9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2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3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48" fillId="0" borderId="7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8" fillId="0" borderId="1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8" fillId="0" borderId="0" xfId="9" applyFont="1" applyAlignment="1">
      <alignment horizontal="center"/>
    </xf>
    <xf numFmtId="0" fontId="8" fillId="0" borderId="0" xfId="9" applyFont="1" applyAlignment="1"/>
    <xf numFmtId="0" fontId="5" fillId="2" borderId="1" xfId="9" quotePrefix="1" applyFont="1" applyFill="1" applyBorder="1" applyAlignment="1">
      <alignment horizontal="center" vertical="center" wrapText="1"/>
    </xf>
    <xf numFmtId="0" fontId="5" fillId="2" borderId="3" xfId="9" quotePrefix="1" applyFont="1" applyFill="1" applyBorder="1" applyAlignment="1">
      <alignment horizontal="center" vertical="center" wrapText="1"/>
    </xf>
    <xf numFmtId="0" fontId="5" fillId="2" borderId="5" xfId="9" quotePrefix="1" applyFont="1" applyFill="1" applyBorder="1" applyAlignment="1">
      <alignment horizontal="center" vertical="center" wrapText="1"/>
    </xf>
    <xf numFmtId="0" fontId="5" fillId="2" borderId="9" xfId="9" quotePrefix="1" applyFont="1" applyFill="1" applyBorder="1" applyAlignment="1">
      <alignment horizontal="center" vertical="center" wrapText="1"/>
    </xf>
    <xf numFmtId="0" fontId="5" fillId="2" borderId="6" xfId="9" quotePrefix="1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left" vertical="center"/>
    </xf>
    <xf numFmtId="0" fontId="5" fillId="0" borderId="9" xfId="9" applyFont="1" applyBorder="1" applyAlignment="1">
      <alignment horizontal="left" vertical="center"/>
    </xf>
    <xf numFmtId="0" fontId="5" fillId="0" borderId="6" xfId="9" applyFont="1" applyBorder="1" applyAlignment="1">
      <alignment horizontal="left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7" fillId="6" borderId="23" xfId="0" applyFont="1" applyFill="1" applyBorder="1" applyAlignment="1">
      <alignment horizontal="center" vertical="center" wrapText="1"/>
    </xf>
    <xf numFmtId="0" fontId="77" fillId="6" borderId="24" xfId="0" applyFont="1" applyFill="1" applyBorder="1" applyAlignment="1">
      <alignment horizontal="center" vertical="center" wrapText="1"/>
    </xf>
    <xf numFmtId="0" fontId="77" fillId="6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53" fillId="0" borderId="2" xfId="0" applyFont="1" applyBorder="1" applyAlignment="1">
      <alignment horizontal="center" vertical="top" wrapText="1"/>
    </xf>
    <xf numFmtId="0" fontId="20" fillId="2" borderId="7" xfId="0" applyFont="1" applyFill="1" applyBorder="1" applyAlignment="1">
      <alignment horizontal="right"/>
    </xf>
    <xf numFmtId="0" fontId="53" fillId="2" borderId="5" xfId="0" applyFont="1" applyFill="1" applyBorder="1" applyAlignment="1">
      <alignment horizontal="center" vertical="top" wrapText="1"/>
    </xf>
    <xf numFmtId="0" fontId="53" fillId="2" borderId="9" xfId="0" applyFont="1" applyFill="1" applyBorder="1" applyAlignment="1">
      <alignment horizontal="center" vertical="top" wrapText="1"/>
    </xf>
    <xf numFmtId="0" fontId="53" fillId="2" borderId="6" xfId="0" applyFont="1" applyFill="1" applyBorder="1" applyAlignment="1">
      <alignment horizontal="center" vertical="top" wrapText="1"/>
    </xf>
    <xf numFmtId="0" fontId="35" fillId="0" borderId="0" xfId="11" applyFont="1" applyAlignment="1">
      <alignment horizontal="center"/>
    </xf>
    <xf numFmtId="0" fontId="36" fillId="0" borderId="0" xfId="11" applyFont="1" applyAlignment="1">
      <alignment horizontal="center"/>
    </xf>
    <xf numFmtId="0" fontId="13" fillId="0" borderId="7" xfId="11" applyFont="1" applyBorder="1" applyAlignment="1">
      <alignment horizontal="right"/>
    </xf>
    <xf numFmtId="0" fontId="38" fillId="0" borderId="1" xfId="11" applyFont="1" applyBorder="1" applyAlignment="1">
      <alignment horizontal="center" vertical="top" wrapText="1"/>
    </xf>
    <xf numFmtId="0" fontId="38" fillId="0" borderId="3" xfId="11" applyFont="1" applyBorder="1" applyAlignment="1">
      <alignment horizontal="center" vertical="top" wrapText="1"/>
    </xf>
    <xf numFmtId="0" fontId="5" fillId="0" borderId="2" xfId="11" applyFont="1" applyBorder="1" applyAlignment="1">
      <alignment horizontal="center" vertical="top" wrapText="1"/>
    </xf>
    <xf numFmtId="0" fontId="5" fillId="0" borderId="9" xfId="11" applyFont="1" applyBorder="1" applyAlignment="1">
      <alignment horizontal="center" vertical="top" wrapText="1"/>
    </xf>
    <xf numFmtId="0" fontId="5" fillId="0" borderId="6" xfId="11" applyFont="1" applyBorder="1" applyAlignment="1">
      <alignment horizontal="center" vertical="top" wrapText="1"/>
    </xf>
    <xf numFmtId="0" fontId="5" fillId="2" borderId="2" xfId="11" applyFont="1" applyFill="1" applyBorder="1" applyAlignment="1">
      <alignment horizontal="center" vertical="top" wrapText="1"/>
    </xf>
    <xf numFmtId="0" fontId="38" fillId="0" borderId="2" xfId="11" applyFont="1" applyBorder="1" applyAlignment="1">
      <alignment horizontal="center" vertical="top" wrapText="1"/>
    </xf>
    <xf numFmtId="0" fontId="5" fillId="0" borderId="5" xfId="11" applyFont="1" applyBorder="1" applyAlignment="1">
      <alignment horizontal="center"/>
    </xf>
    <xf numFmtId="0" fontId="5" fillId="0" borderId="6" xfId="11" applyFont="1" applyBorder="1" applyAlignment="1">
      <alignment horizontal="center"/>
    </xf>
    <xf numFmtId="0" fontId="39" fillId="0" borderId="1" xfId="0" quotePrefix="1" applyFont="1" applyBorder="1" applyAlignment="1">
      <alignment horizontal="center" vertical="center" wrapText="1"/>
    </xf>
    <xf numFmtId="0" fontId="39" fillId="0" borderId="10" xfId="0" quotePrefix="1" applyFont="1" applyBorder="1" applyAlignment="1">
      <alignment horizontal="center" vertical="center" wrapText="1"/>
    </xf>
    <xf numFmtId="0" fontId="39" fillId="0" borderId="3" xfId="0" quotePrefix="1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/>
    </xf>
    <xf numFmtId="0" fontId="39" fillId="0" borderId="1" xfId="0" quotePrefix="1" applyFont="1" applyBorder="1" applyAlignment="1">
      <alignment horizontal="center" vertical="top" wrapText="1"/>
    </xf>
    <xf numFmtId="0" fontId="39" fillId="0" borderId="10" xfId="0" quotePrefix="1" applyFont="1" applyBorder="1" applyAlignment="1">
      <alignment horizontal="center" vertical="top" wrapText="1"/>
    </xf>
    <xf numFmtId="0" fontId="39" fillId="0" borderId="3" xfId="0" quotePrefix="1" applyFont="1" applyBorder="1" applyAlignment="1">
      <alignment horizontal="center" vertical="top" wrapText="1"/>
    </xf>
    <xf numFmtId="0" fontId="5" fillId="0" borderId="2" xfId="11" applyFont="1" applyBorder="1" applyAlignment="1">
      <alignment horizontal="center" vertical="center" wrapText="1"/>
    </xf>
    <xf numFmtId="0" fontId="10" fillId="0" borderId="0" xfId="11" applyAlignment="1">
      <alignment horizontal="left"/>
    </xf>
    <xf numFmtId="0" fontId="5" fillId="0" borderId="1" xfId="16" applyFont="1" applyBorder="1" applyAlignment="1">
      <alignment horizontal="center" vertical="top" wrapText="1"/>
    </xf>
    <xf numFmtId="0" fontId="10" fillId="0" borderId="3" xfId="11" applyBorder="1" applyAlignment="1">
      <alignment horizontal="center" vertical="top" wrapText="1"/>
    </xf>
    <xf numFmtId="0" fontId="5" fillId="0" borderId="1" xfId="11" applyFont="1" applyBorder="1" applyAlignment="1">
      <alignment horizontal="center" vertical="top" wrapText="1"/>
    </xf>
    <xf numFmtId="0" fontId="5" fillId="0" borderId="3" xfId="11" applyFont="1" applyBorder="1" applyAlignment="1">
      <alignment horizontal="center" vertical="top" wrapText="1"/>
    </xf>
    <xf numFmtId="0" fontId="20" fillId="0" borderId="7" xfId="11" applyFont="1" applyBorder="1" applyAlignment="1">
      <alignment horizontal="center"/>
    </xf>
    <xf numFmtId="0" fontId="6" fillId="0" borderId="0" xfId="11" applyFont="1" applyAlignment="1">
      <alignment horizontal="center"/>
    </xf>
    <xf numFmtId="0" fontId="9" fillId="0" borderId="0" xfId="16" applyFont="1" applyAlignment="1">
      <alignment horizontal="center"/>
    </xf>
    <xf numFmtId="0" fontId="11" fillId="0" borderId="0" xfId="16" applyFont="1" applyAlignment="1">
      <alignment horizontal="center"/>
    </xf>
    <xf numFmtId="0" fontId="5" fillId="0" borderId="5" xfId="16" applyFont="1" applyBorder="1" applyAlignment="1">
      <alignment horizontal="center" vertical="top"/>
    </xf>
    <xf numFmtId="0" fontId="5" fillId="0" borderId="9" xfId="16" applyFont="1" applyBorder="1" applyAlignment="1">
      <alignment horizontal="center" vertical="top"/>
    </xf>
    <xf numFmtId="0" fontId="5" fillId="0" borderId="2" xfId="16" applyFont="1" applyBorder="1" applyAlignment="1">
      <alignment horizontal="center" vertical="top"/>
    </xf>
    <xf numFmtId="0" fontId="5" fillId="0" borderId="2" xfId="16" applyFont="1" applyBorder="1" applyAlignment="1">
      <alignment horizontal="center" vertical="top" wrapText="1"/>
    </xf>
    <xf numFmtId="0" fontId="6" fillId="0" borderId="0" xfId="11" applyFont="1" applyAlignment="1">
      <alignment horizontal="right"/>
    </xf>
    <xf numFmtId="0" fontId="7" fillId="0" borderId="0" xfId="16" applyFont="1" applyAlignment="1">
      <alignment horizontal="center"/>
    </xf>
    <xf numFmtId="0" fontId="10" fillId="0" borderId="0" xfId="16" applyAlignment="1">
      <alignment horizontal="left"/>
    </xf>
    <xf numFmtId="0" fontId="9" fillId="0" borderId="2" xfId="16" applyFont="1" applyBorder="1" applyAlignment="1">
      <alignment horizontal="center" vertical="top"/>
    </xf>
    <xf numFmtId="0" fontId="9" fillId="0" borderId="5" xfId="16" applyFont="1" applyBorder="1" applyAlignment="1">
      <alignment horizontal="center"/>
    </xf>
    <xf numFmtId="0" fontId="9" fillId="0" borderId="6" xfId="16" applyFont="1" applyBorder="1" applyAlignment="1">
      <alignment horizontal="center"/>
    </xf>
    <xf numFmtId="0" fontId="85" fillId="0" borderId="2" xfId="16" applyFont="1" applyBorder="1" applyAlignment="1">
      <alignment horizontal="center" vertical="top" wrapText="1"/>
    </xf>
    <xf numFmtId="0" fontId="85" fillId="0" borderId="9" xfId="16" applyFont="1" applyBorder="1" applyAlignment="1">
      <alignment horizontal="center" vertical="top" wrapText="1"/>
    </xf>
    <xf numFmtId="0" fontId="85" fillId="0" borderId="6" xfId="16" applyFont="1" applyBorder="1" applyAlignment="1">
      <alignment horizontal="center" vertical="top" wrapText="1"/>
    </xf>
    <xf numFmtId="0" fontId="85" fillId="0" borderId="5" xfId="16" applyFont="1" applyBorder="1" applyAlignment="1">
      <alignment horizontal="center" vertical="top" wrapText="1"/>
    </xf>
    <xf numFmtId="0" fontId="5" fillId="0" borderId="5" xfId="16" applyFont="1" applyBorder="1" applyAlignment="1">
      <alignment horizontal="center" vertical="top" wrapText="1"/>
    </xf>
    <xf numFmtId="0" fontId="5" fillId="0" borderId="9" xfId="16" applyFont="1" applyBorder="1" applyAlignment="1">
      <alignment horizontal="center" vertical="top" wrapText="1"/>
    </xf>
    <xf numFmtId="0" fontId="5" fillId="0" borderId="6" xfId="16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5" fillId="0" borderId="0" xfId="30" applyFont="1" applyAlignment="1">
      <alignment horizontal="center"/>
    </xf>
    <xf numFmtId="0" fontId="18" fillId="0" borderId="0" xfId="30" applyFont="1" applyAlignment="1">
      <alignment horizontal="center"/>
    </xf>
    <xf numFmtId="0" fontId="20" fillId="0" borderId="0" xfId="11" applyFont="1" applyAlignment="1">
      <alignment horizontal="right"/>
    </xf>
    <xf numFmtId="0" fontId="5" fillId="2" borderId="2" xfId="30" quotePrefix="1" applyFont="1" applyFill="1" applyBorder="1" applyAlignment="1">
      <alignment horizontal="center" vertical="center" wrapText="1"/>
    </xf>
    <xf numFmtId="0" fontId="5" fillId="0" borderId="2" xfId="30" applyFont="1" applyBorder="1" applyAlignment="1">
      <alignment horizontal="left"/>
    </xf>
    <xf numFmtId="0" fontId="20" fillId="0" borderId="0" xfId="30" applyFont="1" applyAlignment="1">
      <alignment horizontal="right"/>
    </xf>
    <xf numFmtId="0" fontId="38" fillId="0" borderId="10" xfId="11" applyFont="1" applyBorder="1" applyAlignment="1">
      <alignment horizontal="center" vertical="top" wrapText="1"/>
    </xf>
    <xf numFmtId="0" fontId="5" fillId="2" borderId="1" xfId="30" quotePrefix="1" applyFont="1" applyFill="1" applyBorder="1" applyAlignment="1">
      <alignment horizontal="center" vertical="center" wrapText="1"/>
    </xf>
    <xf numFmtId="0" fontId="5" fillId="2" borderId="3" xfId="30" quotePrefix="1" applyFont="1" applyFill="1" applyBorder="1" applyAlignment="1">
      <alignment horizontal="center" vertical="center" wrapText="1"/>
    </xf>
    <xf numFmtId="0" fontId="5" fillId="2" borderId="2" xfId="3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57" fillId="0" borderId="12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61" fillId="0" borderId="0" xfId="1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wrapText="1"/>
    </xf>
    <xf numFmtId="0" fontId="25" fillId="0" borderId="5" xfId="9" applyFont="1" applyBorder="1" applyAlignment="1">
      <alignment horizontal="center" vertical="top" wrapText="1"/>
    </xf>
    <xf numFmtId="0" fontId="25" fillId="0" borderId="9" xfId="9" applyFont="1" applyBorder="1" applyAlignment="1">
      <alignment horizontal="center" vertical="top" wrapText="1"/>
    </xf>
    <xf numFmtId="0" fontId="25" fillId="0" borderId="15" xfId="9" applyFont="1" applyBorder="1" applyAlignment="1">
      <alignment horizontal="center" vertical="top" wrapText="1"/>
    </xf>
    <xf numFmtId="0" fontId="25" fillId="0" borderId="2" xfId="9" applyFont="1" applyBorder="1" applyAlignment="1">
      <alignment horizontal="center" vertical="top" wrapText="1"/>
    </xf>
    <xf numFmtId="0" fontId="25" fillId="0" borderId="6" xfId="9" applyFont="1" applyBorder="1" applyAlignment="1">
      <alignment horizontal="center" vertical="top" wrapText="1"/>
    </xf>
    <xf numFmtId="0" fontId="46" fillId="0" borderId="0" xfId="9" applyFont="1" applyAlignment="1">
      <alignment horizontal="center"/>
    </xf>
    <xf numFmtId="0" fontId="25" fillId="0" borderId="1" xfId="9" applyFont="1" applyBorder="1" applyAlignment="1">
      <alignment horizontal="center" vertical="top" wrapText="1"/>
    </xf>
    <xf numFmtId="0" fontId="25" fillId="0" borderId="3" xfId="9" applyFont="1" applyBorder="1" applyAlignment="1">
      <alignment horizontal="center" vertical="top" wrapText="1"/>
    </xf>
    <xf numFmtId="0" fontId="21" fillId="0" borderId="2" xfId="9" applyFont="1" applyBorder="1" applyAlignment="1">
      <alignment horizontal="center" vertical="top" wrapText="1"/>
    </xf>
    <xf numFmtId="0" fontId="32" fillId="0" borderId="0" xfId="9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24" fillId="0" borderId="2" xfId="9" applyFont="1" applyBorder="1" applyAlignment="1">
      <alignment horizontal="center" vertical="top" wrapText="1"/>
    </xf>
    <xf numFmtId="0" fontId="24" fillId="0" borderId="1" xfId="9" applyFont="1" applyBorder="1" applyAlignment="1">
      <alignment horizontal="center" vertical="top" wrapText="1"/>
    </xf>
    <xf numFmtId="0" fontId="24" fillId="0" borderId="3" xfId="9" applyFont="1" applyBorder="1" applyAlignment="1">
      <alignment horizontal="center" vertical="top" wrapText="1"/>
    </xf>
    <xf numFmtId="0" fontId="23" fillId="0" borderId="1" xfId="9" applyFont="1" applyBorder="1" applyAlignment="1">
      <alignment horizontal="center" vertical="top" wrapText="1"/>
    </xf>
    <xf numFmtId="0" fontId="23" fillId="0" borderId="3" xfId="9" applyFont="1" applyBorder="1" applyAlignment="1">
      <alignment horizontal="center" vertical="top" wrapText="1"/>
    </xf>
    <xf numFmtId="0" fontId="23" fillId="0" borderId="5" xfId="9" applyFont="1" applyBorder="1" applyAlignment="1">
      <alignment horizontal="center" vertical="top" wrapText="1"/>
    </xf>
    <xf numFmtId="0" fontId="23" fillId="0" borderId="9" xfId="9" applyFont="1" applyBorder="1" applyAlignment="1">
      <alignment horizontal="center" vertical="top" wrapText="1"/>
    </xf>
    <xf numFmtId="0" fontId="23" fillId="0" borderId="6" xfId="9" applyFont="1" applyBorder="1" applyAlignment="1">
      <alignment horizontal="center" vertical="top" wrapText="1"/>
    </xf>
    <xf numFmtId="0" fontId="21" fillId="0" borderId="5" xfId="9" applyFont="1" applyBorder="1" applyAlignment="1">
      <alignment horizontal="center" vertical="top" wrapText="1"/>
    </xf>
    <xf numFmtId="0" fontId="21" fillId="0" borderId="9" xfId="9" applyFont="1" applyBorder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9" applyFont="1" applyBorder="1" applyAlignment="1">
      <alignment horizontal="center" vertical="top"/>
    </xf>
    <xf numFmtId="0" fontId="23" fillId="0" borderId="10" xfId="9" applyFont="1" applyBorder="1" applyAlignment="1">
      <alignment horizontal="center" vertical="top"/>
    </xf>
    <xf numFmtId="0" fontId="23" fillId="0" borderId="3" xfId="9" applyFont="1" applyBorder="1" applyAlignment="1">
      <alignment horizontal="center" vertical="top"/>
    </xf>
    <xf numFmtId="0" fontId="23" fillId="0" borderId="5" xfId="9" applyFont="1" applyBorder="1" applyAlignment="1">
      <alignment horizontal="center" wrapText="1"/>
    </xf>
    <xf numFmtId="0" fontId="23" fillId="0" borderId="9" xfId="9" applyFont="1" applyBorder="1" applyAlignment="1">
      <alignment horizontal="center" wrapText="1"/>
    </xf>
    <xf numFmtId="0" fontId="23" fillId="0" borderId="6" xfId="9" applyFont="1" applyBorder="1" applyAlignment="1">
      <alignment horizontal="center" wrapText="1"/>
    </xf>
    <xf numFmtId="0" fontId="26" fillId="0" borderId="0" xfId="9" applyFont="1" applyAlignment="1">
      <alignment horizontal="center"/>
    </xf>
    <xf numFmtId="0" fontId="25" fillId="0" borderId="10" xfId="9" applyFont="1" applyBorder="1" applyAlignment="1">
      <alignment horizontal="center" vertical="top" wrapText="1"/>
    </xf>
    <xf numFmtId="0" fontId="25" fillId="0" borderId="11" xfId="9" applyFont="1" applyBorder="1" applyAlignment="1">
      <alignment horizontal="center" vertical="top" wrapText="1"/>
    </xf>
    <xf numFmtId="0" fontId="25" fillId="0" borderId="17" xfId="9" applyFont="1" applyBorder="1" applyAlignment="1">
      <alignment horizontal="center" vertical="top" wrapText="1"/>
    </xf>
    <xf numFmtId="0" fontId="25" fillId="0" borderId="12" xfId="9" applyFont="1" applyBorder="1" applyAlignment="1">
      <alignment horizontal="center" vertical="top" wrapText="1"/>
    </xf>
    <xf numFmtId="0" fontId="23" fillId="0" borderId="2" xfId="9" applyFont="1" applyBorder="1" applyAlignment="1">
      <alignment horizontal="center" wrapText="1"/>
    </xf>
    <xf numFmtId="0" fontId="20" fillId="0" borderId="1" xfId="17" applyFont="1" applyBorder="1" applyAlignment="1">
      <alignment horizontal="center" vertical="top" wrapText="1"/>
    </xf>
    <xf numFmtId="0" fontId="20" fillId="0" borderId="3" xfId="17" applyFont="1" applyBorder="1" applyAlignment="1">
      <alignment horizontal="center" vertical="top" wrapText="1"/>
    </xf>
    <xf numFmtId="0" fontId="20" fillId="0" borderId="5" xfId="17" applyFont="1" applyBorder="1" applyAlignment="1">
      <alignment horizontal="center" vertical="top"/>
    </xf>
    <xf numFmtId="0" fontId="20" fillId="0" borderId="9" xfId="17" applyFont="1" applyBorder="1" applyAlignment="1">
      <alignment horizontal="center" vertical="top"/>
    </xf>
    <xf numFmtId="0" fontId="20" fillId="0" borderId="6" xfId="17" applyFont="1" applyBorder="1" applyAlignment="1">
      <alignment horizontal="center" vertical="top"/>
    </xf>
    <xf numFmtId="0" fontId="20" fillId="0" borderId="12" xfId="17" applyFont="1" applyBorder="1" applyAlignment="1">
      <alignment horizontal="center" vertical="top" wrapText="1"/>
    </xf>
    <xf numFmtId="0" fontId="20" fillId="0" borderId="14" xfId="17" applyFont="1" applyBorder="1" applyAlignment="1">
      <alignment horizontal="center" vertical="top" wrapText="1"/>
    </xf>
    <xf numFmtId="0" fontId="20" fillId="0" borderId="15" xfId="17" applyFont="1" applyBorder="1" applyAlignment="1">
      <alignment horizontal="center" vertical="top" wrapText="1"/>
    </xf>
    <xf numFmtId="0" fontId="20" fillId="0" borderId="8" xfId="17" applyFont="1" applyBorder="1" applyAlignment="1">
      <alignment horizontal="center" vertical="top" wrapText="1"/>
    </xf>
    <xf numFmtId="0" fontId="20" fillId="0" borderId="7" xfId="17" applyFont="1" applyBorder="1" applyAlignment="1">
      <alignment horizontal="center" vertical="top" wrapText="1"/>
    </xf>
    <xf numFmtId="0" fontId="20" fillId="0" borderId="16" xfId="17" applyFont="1" applyBorder="1" applyAlignment="1">
      <alignment horizontal="center" vertical="top" wrapText="1"/>
    </xf>
    <xf numFmtId="0" fontId="20" fillId="0" borderId="5" xfId="17" applyFont="1" applyBorder="1" applyAlignment="1">
      <alignment horizontal="center" vertical="top" wrapText="1"/>
    </xf>
    <xf numFmtId="0" fontId="20" fillId="0" borderId="9" xfId="17" applyFont="1" applyBorder="1" applyAlignment="1">
      <alignment horizontal="center" vertical="top" wrapText="1"/>
    </xf>
    <xf numFmtId="0" fontId="20" fillId="0" borderId="6" xfId="17" applyFont="1" applyBorder="1" applyAlignment="1">
      <alignment horizontal="center" vertical="top" wrapText="1"/>
    </xf>
    <xf numFmtId="0" fontId="6" fillId="0" borderId="0" xfId="17" applyFont="1" applyAlignment="1">
      <alignment horizontal="right"/>
    </xf>
    <xf numFmtId="0" fontId="7" fillId="0" borderId="0" xfId="17" applyFont="1" applyAlignment="1">
      <alignment horizontal="center"/>
    </xf>
    <xf numFmtId="0" fontId="8" fillId="0" borderId="0" xfId="17" applyFont="1" applyAlignment="1">
      <alignment horizontal="center"/>
    </xf>
    <xf numFmtId="0" fontId="5" fillId="0" borderId="5" xfId="17" applyFont="1" applyBorder="1" applyAlignment="1">
      <alignment horizontal="center"/>
    </xf>
    <xf numFmtId="0" fontId="5" fillId="0" borderId="6" xfId="17" applyFont="1" applyBorder="1" applyAlignment="1">
      <alignment horizontal="center"/>
    </xf>
    <xf numFmtId="0" fontId="11" fillId="0" borderId="5" xfId="17" applyFont="1" applyBorder="1" applyAlignment="1">
      <alignment horizontal="center" vertical="top" wrapText="1"/>
    </xf>
    <xf numFmtId="0" fontId="11" fillId="0" borderId="6" xfId="17" applyFont="1" applyBorder="1" applyAlignment="1">
      <alignment horizontal="center" vertical="top" wrapText="1"/>
    </xf>
    <xf numFmtId="0" fontId="20" fillId="0" borderId="7" xfId="17" applyFont="1" applyBorder="1" applyAlignment="1">
      <alignment horizontal="center"/>
    </xf>
    <xf numFmtId="0" fontId="5" fillId="0" borderId="0" xfId="16" applyFont="1" applyAlignment="1">
      <alignment horizontal="center"/>
    </xf>
    <xf numFmtId="0" fontId="15" fillId="0" borderId="0" xfId="16" applyFont="1" applyAlignment="1">
      <alignment horizontal="center"/>
    </xf>
    <xf numFmtId="0" fontId="8" fillId="0" borderId="0" xfId="16" applyFont="1" applyAlignment="1">
      <alignment horizontal="center" wrapText="1"/>
    </xf>
    <xf numFmtId="0" fontId="10" fillId="0" borderId="0" xfId="16" applyFont="1"/>
    <xf numFmtId="0" fontId="5" fillId="0" borderId="2" xfId="16" applyFont="1" applyBorder="1" applyAlignment="1">
      <alignment horizontal="center" vertical="center"/>
    </xf>
    <xf numFmtId="0" fontId="5" fillId="0" borderId="0" xfId="11" applyFont="1" applyAlignment="1">
      <alignment horizontal="center" vertical="top" wrapText="1"/>
    </xf>
    <xf numFmtId="0" fontId="99" fillId="0" borderId="0" xfId="11" applyFont="1" applyAlignment="1">
      <alignment horizontal="center" wrapText="1"/>
    </xf>
    <xf numFmtId="0" fontId="102" fillId="0" borderId="32" xfId="11" applyFont="1" applyBorder="1" applyAlignment="1">
      <alignment horizontal="center" vertical="center" wrapText="1"/>
    </xf>
    <xf numFmtId="0" fontId="102" fillId="0" borderId="33" xfId="11" applyFont="1" applyBorder="1" applyAlignment="1">
      <alignment horizontal="center" vertical="center" wrapText="1"/>
    </xf>
    <xf numFmtId="0" fontId="102" fillId="0" borderId="32" xfId="11" applyFont="1" applyBorder="1" applyAlignment="1">
      <alignment wrapText="1"/>
    </xf>
    <xf numFmtId="0" fontId="102" fillId="0" borderId="33" xfId="11" applyFont="1" applyBorder="1" applyAlignment="1">
      <alignment wrapText="1"/>
    </xf>
    <xf numFmtId="0" fontId="102" fillId="0" borderId="2" xfId="11" applyFont="1" applyBorder="1" applyAlignment="1">
      <alignment horizontal="center" vertical="center" wrapText="1"/>
    </xf>
    <xf numFmtId="0" fontId="108" fillId="0" borderId="34" xfId="11" applyFont="1" applyBorder="1" applyAlignment="1">
      <alignment horizontal="center" wrapText="1"/>
    </xf>
    <xf numFmtId="0" fontId="100" fillId="0" borderId="3" xfId="11" applyFont="1" applyBorder="1" applyAlignment="1">
      <alignment horizontal="center" vertical="top" wrapText="1"/>
    </xf>
    <xf numFmtId="0" fontId="116" fillId="0" borderId="2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4" fillId="0" borderId="2" xfId="0" applyFont="1" applyBorder="1" applyAlignment="1">
      <alignment horizontal="center" vertical="center"/>
    </xf>
    <xf numFmtId="0" fontId="114" fillId="0" borderId="2" xfId="0" applyFont="1" applyBorder="1" applyAlignment="1">
      <alignment horizontal="center" vertical="center" wrapText="1"/>
    </xf>
    <xf numFmtId="0" fontId="7" fillId="0" borderId="0" xfId="11" applyFont="1" applyAlignment="1">
      <alignment horizontal="center" vertical="top" wrapText="1"/>
    </xf>
    <xf numFmtId="0" fontId="114" fillId="0" borderId="2" xfId="0" applyFont="1" applyBorder="1" applyAlignment="1">
      <alignment horizontal="center" wrapText="1"/>
    </xf>
    <xf numFmtId="0" fontId="114" fillId="0" borderId="0" xfId="0" applyFont="1" applyAlignment="1">
      <alignment horizontal="center"/>
    </xf>
    <xf numFmtId="0" fontId="111" fillId="0" borderId="7" xfId="0" applyFont="1" applyBorder="1" applyAlignment="1">
      <alignment horizontal="center" vertical="center" wrapText="1"/>
    </xf>
    <xf numFmtId="0" fontId="112" fillId="0" borderId="2" xfId="0" applyFont="1" applyBorder="1" applyAlignment="1">
      <alignment horizontal="center" vertical="top" wrapText="1"/>
    </xf>
    <xf numFmtId="0" fontId="112" fillId="0" borderId="1" xfId="0" applyFont="1" applyBorder="1" applyAlignment="1">
      <alignment horizontal="center" vertical="top" wrapText="1"/>
    </xf>
    <xf numFmtId="0" fontId="112" fillId="0" borderId="3" xfId="0" applyFont="1" applyBorder="1" applyAlignment="1">
      <alignment horizontal="center" vertical="top" wrapText="1"/>
    </xf>
    <xf numFmtId="0" fontId="112" fillId="0" borderId="1" xfId="0" applyFont="1" applyBorder="1" applyAlignment="1">
      <alignment horizontal="center" vertical="top"/>
    </xf>
    <xf numFmtId="0" fontId="112" fillId="0" borderId="3" xfId="0" applyFont="1" applyBorder="1" applyAlignment="1">
      <alignment horizontal="center" vertical="top"/>
    </xf>
    <xf numFmtId="0" fontId="112" fillId="0" borderId="1" xfId="0" applyFont="1" applyBorder="1" applyAlignment="1">
      <alignment horizontal="center" vertical="center"/>
    </xf>
    <xf numFmtId="0" fontId="112" fillId="0" borderId="3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13" fillId="0" borderId="2" xfId="0" applyFont="1" applyBorder="1" applyAlignment="1">
      <alignment horizontal="center" vertical="center" wrapText="1"/>
    </xf>
    <xf numFmtId="0" fontId="113" fillId="0" borderId="2" xfId="0" applyFont="1" applyBorder="1" applyAlignment="1">
      <alignment horizontal="center" vertical="center"/>
    </xf>
    <xf numFmtId="0" fontId="113" fillId="0" borderId="1" xfId="0" applyFont="1" applyBorder="1" applyAlignment="1">
      <alignment horizontal="center" vertical="center"/>
    </xf>
    <xf numFmtId="0" fontId="113" fillId="0" borderId="3" xfId="0" applyFont="1" applyBorder="1" applyAlignment="1">
      <alignment horizontal="center" vertical="center"/>
    </xf>
    <xf numFmtId="0" fontId="113" fillId="0" borderId="1" xfId="0" applyFont="1" applyBorder="1" applyAlignment="1">
      <alignment horizontal="center" vertical="center" wrapText="1"/>
    </xf>
    <xf numFmtId="0" fontId="113" fillId="0" borderId="3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center"/>
    </xf>
    <xf numFmtId="0" fontId="112" fillId="0" borderId="1" xfId="0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0" fontId="127" fillId="7" borderId="38" xfId="0" applyFont="1" applyFill="1" applyBorder="1" applyAlignment="1">
      <alignment horizontal="center" vertical="center" wrapText="1" readingOrder="1"/>
    </xf>
    <xf numFmtId="0" fontId="127" fillId="7" borderId="25" xfId="0" applyFont="1" applyFill="1" applyBorder="1" applyAlignment="1">
      <alignment horizontal="center" vertical="center" wrapText="1" readingOrder="1"/>
    </xf>
    <xf numFmtId="0" fontId="128" fillId="0" borderId="36" xfId="0" applyFont="1" applyBorder="1" applyAlignment="1">
      <alignment horizontal="center" vertical="center" wrapText="1" readingOrder="1"/>
    </xf>
    <xf numFmtId="0" fontId="128" fillId="0" borderId="37" xfId="0" applyFont="1" applyBorder="1" applyAlignment="1">
      <alignment horizontal="center" vertical="center" wrapText="1" readingOrder="1"/>
    </xf>
    <xf numFmtId="0" fontId="128" fillId="0" borderId="38" xfId="0" applyFont="1" applyBorder="1" applyAlignment="1">
      <alignment horizontal="center" vertical="center" wrapText="1" readingOrder="1"/>
    </xf>
    <xf numFmtId="0" fontId="128" fillId="0" borderId="39" xfId="0" applyFont="1" applyBorder="1" applyAlignment="1">
      <alignment horizontal="center" vertical="center" wrapText="1" readingOrder="1"/>
    </xf>
    <xf numFmtId="0" fontId="128" fillId="0" borderId="25" xfId="0" applyFont="1" applyBorder="1" applyAlignment="1">
      <alignment horizontal="center" vertical="center" wrapText="1" readingOrder="1"/>
    </xf>
    <xf numFmtId="0" fontId="125" fillId="7" borderId="38" xfId="0" applyFont="1" applyFill="1" applyBorder="1" applyAlignment="1">
      <alignment horizontal="center" vertical="center" wrapText="1" readingOrder="1"/>
    </xf>
    <xf numFmtId="0" fontId="125" fillId="7" borderId="39" xfId="0" applyFont="1" applyFill="1" applyBorder="1" applyAlignment="1">
      <alignment horizontal="center" vertical="center" wrapText="1" readingOrder="1"/>
    </xf>
    <xf numFmtId="0" fontId="125" fillId="7" borderId="25" xfId="0" applyFont="1" applyFill="1" applyBorder="1" applyAlignment="1">
      <alignment horizontal="center" vertical="center" wrapText="1" readingOrder="1"/>
    </xf>
    <xf numFmtId="0" fontId="126" fillId="7" borderId="36" xfId="0" applyFont="1" applyFill="1" applyBorder="1" applyAlignment="1">
      <alignment horizontal="center" vertical="center" wrapText="1" readingOrder="1"/>
    </xf>
    <xf numFmtId="0" fontId="126" fillId="7" borderId="37" xfId="0" applyFont="1" applyFill="1" applyBorder="1" applyAlignment="1">
      <alignment horizontal="center" vertical="center" wrapText="1" readingOrder="1"/>
    </xf>
    <xf numFmtId="0" fontId="125" fillId="7" borderId="36" xfId="0" applyFont="1" applyFill="1" applyBorder="1" applyAlignment="1">
      <alignment horizontal="center" vertical="center" wrapText="1" readingOrder="1"/>
    </xf>
    <xf numFmtId="0" fontId="125" fillId="7" borderId="37" xfId="0" applyFont="1" applyFill="1" applyBorder="1" applyAlignment="1">
      <alignment horizontal="center" vertical="center" wrapText="1" readingOrder="1"/>
    </xf>
    <xf numFmtId="0" fontId="122" fillId="7" borderId="36" xfId="0" applyFont="1" applyFill="1" applyBorder="1" applyAlignment="1">
      <alignment horizontal="center" vertical="center" wrapText="1" readingOrder="1"/>
    </xf>
    <xf numFmtId="0" fontId="122" fillId="7" borderId="37" xfId="0" applyFont="1" applyFill="1" applyBorder="1" applyAlignment="1">
      <alignment horizontal="center" vertical="center" wrapText="1" readingOrder="1"/>
    </xf>
    <xf numFmtId="0" fontId="123" fillId="9" borderId="38" xfId="0" applyFont="1" applyFill="1" applyBorder="1" applyAlignment="1">
      <alignment horizontal="center" wrapText="1" readingOrder="1"/>
    </xf>
    <xf numFmtId="0" fontId="123" fillId="9" borderId="39" xfId="0" applyFont="1" applyFill="1" applyBorder="1" applyAlignment="1">
      <alignment horizontal="center" wrapText="1" readingOrder="1"/>
    </xf>
    <xf numFmtId="0" fontId="123" fillId="9" borderId="25" xfId="0" applyFont="1" applyFill="1" applyBorder="1" applyAlignment="1">
      <alignment horizontal="center" wrapText="1" readingOrder="1"/>
    </xf>
    <xf numFmtId="0" fontId="123" fillId="10" borderId="38" xfId="0" applyFont="1" applyFill="1" applyBorder="1" applyAlignment="1">
      <alignment horizontal="center" wrapText="1" readingOrder="1"/>
    </xf>
    <xf numFmtId="0" fontId="123" fillId="10" borderId="39" xfId="0" applyFont="1" applyFill="1" applyBorder="1" applyAlignment="1">
      <alignment horizontal="center" wrapText="1" readingOrder="1"/>
    </xf>
    <xf numFmtId="0" fontId="123" fillId="10" borderId="25" xfId="0" applyFont="1" applyFill="1" applyBorder="1" applyAlignment="1">
      <alignment horizontal="center" wrapText="1" readingOrder="1"/>
    </xf>
    <xf numFmtId="0" fontId="124" fillId="9" borderId="2" xfId="0" applyFont="1" applyFill="1" applyBorder="1" applyAlignment="1">
      <alignment horizontal="right" vertical="center" wrapText="1" readingOrder="1"/>
    </xf>
    <xf numFmtId="3" fontId="124" fillId="9" borderId="2" xfId="0" applyNumberFormat="1" applyFont="1" applyFill="1" applyBorder="1" applyAlignment="1">
      <alignment horizontal="right" vertical="center" wrapText="1" readingOrder="1"/>
    </xf>
    <xf numFmtId="3" fontId="124" fillId="10" borderId="2" xfId="0" applyNumberFormat="1" applyFont="1" applyFill="1" applyBorder="1" applyAlignment="1">
      <alignment horizontal="right" vertical="center" wrapText="1" readingOrder="1"/>
    </xf>
    <xf numFmtId="0" fontId="124" fillId="10" borderId="2" xfId="0" applyFont="1" applyFill="1" applyBorder="1" applyAlignment="1">
      <alignment horizontal="right" vertical="center" wrapText="1" readingOrder="1"/>
    </xf>
  </cellXfs>
  <cellStyles count="33">
    <cellStyle name="Hyperlink" xfId="1" builtinId="8"/>
    <cellStyle name="Hyperlink 2" xfId="2" xr:uid="{00000000-0005-0000-0000-000001000000}"/>
    <cellStyle name="Hyperlink 2 2" xfId="3" xr:uid="{00000000-0005-0000-0000-000002000000}"/>
    <cellStyle name="Hyperlink 3" xfId="4" xr:uid="{00000000-0005-0000-0000-000003000000}"/>
    <cellStyle name="Normal" xfId="0" builtinId="0"/>
    <cellStyle name="Normal 12" xfId="5" xr:uid="{00000000-0005-0000-0000-000005000000}"/>
    <cellStyle name="Normal 14" xfId="6" xr:uid="{00000000-0005-0000-0000-000006000000}"/>
    <cellStyle name="Normal 16" xfId="7" xr:uid="{00000000-0005-0000-0000-000007000000}"/>
    <cellStyle name="Normal 17" xfId="8" xr:uid="{00000000-0005-0000-0000-000008000000}"/>
    <cellStyle name="Normal 2" xfId="9" xr:uid="{00000000-0005-0000-0000-000009000000}"/>
    <cellStyle name="Normal 2 2" xfId="10" xr:uid="{00000000-0005-0000-0000-00000A000000}"/>
    <cellStyle name="Normal 2 2 2" xfId="11" xr:uid="{00000000-0005-0000-0000-00000B000000}"/>
    <cellStyle name="Normal 2 2 3" xfId="26" xr:uid="{00000000-0005-0000-0000-00000C000000}"/>
    <cellStyle name="Normal 2 2 4" xfId="12" xr:uid="{00000000-0005-0000-0000-00000D000000}"/>
    <cellStyle name="Normal 2 2 5" xfId="30" xr:uid="{00000000-0005-0000-0000-00000E000000}"/>
    <cellStyle name="Normal 2 3" xfId="13" xr:uid="{00000000-0005-0000-0000-00000F000000}"/>
    <cellStyle name="Normal 2 3 2" xfId="27" xr:uid="{00000000-0005-0000-0000-000010000000}"/>
    <cellStyle name="Normal 2 4" xfId="14" xr:uid="{00000000-0005-0000-0000-000011000000}"/>
    <cellStyle name="Normal 2 5" xfId="25" xr:uid="{00000000-0005-0000-0000-000012000000}"/>
    <cellStyle name="Normal 2 5 2" xfId="31" xr:uid="{00000000-0005-0000-0000-000013000000}"/>
    <cellStyle name="Normal 2 6" xfId="15" xr:uid="{00000000-0005-0000-0000-000014000000}"/>
    <cellStyle name="Normal 3" xfId="16" xr:uid="{00000000-0005-0000-0000-000015000000}"/>
    <cellStyle name="Normal 3 2" xfId="17" xr:uid="{00000000-0005-0000-0000-000016000000}"/>
    <cellStyle name="Normal 3 3" xfId="18" xr:uid="{00000000-0005-0000-0000-000017000000}"/>
    <cellStyle name="Normal 3 3 4" xfId="32" xr:uid="{00000000-0005-0000-0000-000018000000}"/>
    <cellStyle name="Normal 4" xfId="19" xr:uid="{00000000-0005-0000-0000-000019000000}"/>
    <cellStyle name="Normal 5" xfId="20" xr:uid="{00000000-0005-0000-0000-00001A000000}"/>
    <cellStyle name="Normal 5 2" xfId="21" xr:uid="{00000000-0005-0000-0000-00001B000000}"/>
    <cellStyle name="Normal 6" xfId="22" xr:uid="{00000000-0005-0000-0000-00001C000000}"/>
    <cellStyle name="Normal 6 2" xfId="28" xr:uid="{00000000-0005-0000-0000-00001D000000}"/>
    <cellStyle name="Normal 7" xfId="23" xr:uid="{00000000-0005-0000-0000-00001E000000}"/>
    <cellStyle name="Normal 7 2" xfId="29" xr:uid="{00000000-0005-0000-0000-00001F000000}"/>
    <cellStyle name="Normal 9" xfId="24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450082</xdr:colOff>
      <xdr:row>37</xdr:row>
      <xdr:rowOff>105428</xdr:rowOff>
    </xdr:from>
    <xdr:ext cx="12968654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9037822-AFDC-489B-BD05-5C7073CB1960}"/>
            </a:ext>
          </a:extLst>
        </xdr:cNvPr>
        <xdr:cNvSpPr/>
      </xdr:nvSpPr>
      <xdr:spPr>
        <a:xfrm>
          <a:off x="1057170" y="5914631"/>
          <a:ext cx="12968654" cy="454409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8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8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</a:t>
          </a:r>
          <a:r>
            <a:rPr lang="en-US" sz="6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- Chhattisgarh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10-05-2020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ysClr val="windowText" lastClr="0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15</xdr:row>
      <xdr:rowOff>178594</xdr:rowOff>
    </xdr:from>
    <xdr:ext cx="5244769" cy="468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17F73F-5EC2-48E9-9E22-7123ED464E2F}"/>
            </a:ext>
          </a:extLst>
        </xdr:cNvPr>
        <xdr:cNvSpPr txBox="1"/>
      </xdr:nvSpPr>
      <xdr:spPr>
        <a:xfrm>
          <a:off x="4357688" y="3893344"/>
          <a:ext cx="524476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/>
            <a:t>No discrimination</a:t>
          </a:r>
          <a:r>
            <a:rPr lang="en-US" sz="2400" baseline="0"/>
            <a:t> found in Chhattisgarh </a:t>
          </a:r>
          <a:endParaRPr lang="en-US" sz="24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312965</xdr:colOff>
      <xdr:row>17</xdr:row>
      <xdr:rowOff>68036</xdr:rowOff>
    </xdr:from>
    <xdr:ext cx="2095500" cy="37414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257266-1285-4554-B2F1-50DDB284DF18}"/>
            </a:ext>
          </a:extLst>
        </xdr:cNvPr>
        <xdr:cNvSpPr txBox="1"/>
      </xdr:nvSpPr>
      <xdr:spPr>
        <a:xfrm>
          <a:off x="3388179" y="3605893"/>
          <a:ext cx="20955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/>
            <a:t>Not Applicable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449036</xdr:colOff>
      <xdr:row>15</xdr:row>
      <xdr:rowOff>81643</xdr:rowOff>
    </xdr:from>
    <xdr:ext cx="2637389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B8E972-A564-440F-AC84-03EEEC7130D9}"/>
            </a:ext>
          </a:extLst>
        </xdr:cNvPr>
        <xdr:cNvSpPr txBox="1"/>
      </xdr:nvSpPr>
      <xdr:spPr>
        <a:xfrm>
          <a:off x="4449536" y="4041322"/>
          <a:ext cx="263738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Not Applicable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394607</xdr:colOff>
      <xdr:row>18</xdr:row>
      <xdr:rowOff>176893</xdr:rowOff>
    </xdr:from>
    <xdr:ext cx="2637389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DEB4D6-C748-4A66-BA6C-99854AE05872}"/>
            </a:ext>
          </a:extLst>
        </xdr:cNvPr>
        <xdr:cNvSpPr txBox="1"/>
      </xdr:nvSpPr>
      <xdr:spPr>
        <a:xfrm>
          <a:off x="4000500" y="4490357"/>
          <a:ext cx="263738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Not Applicable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17</xdr:row>
      <xdr:rowOff>0</xdr:rowOff>
    </xdr:from>
    <xdr:ext cx="1968500" cy="4054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EADCA8-3DD9-41F9-86D3-339B91146355}"/>
            </a:ext>
          </a:extLst>
        </xdr:cNvPr>
        <xdr:cNvSpPr txBox="1"/>
      </xdr:nvSpPr>
      <xdr:spPr>
        <a:xfrm>
          <a:off x="4857750" y="4127500"/>
          <a:ext cx="196850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2000"/>
            <a:t>Not Applicable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721178</xdr:colOff>
      <xdr:row>16</xdr:row>
      <xdr:rowOff>163285</xdr:rowOff>
    </xdr:from>
    <xdr:ext cx="1968500" cy="4054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FE8156-D4DE-4B81-A6FE-FAA8172FFB1A}"/>
            </a:ext>
          </a:extLst>
        </xdr:cNvPr>
        <xdr:cNvSpPr txBox="1"/>
      </xdr:nvSpPr>
      <xdr:spPr>
        <a:xfrm>
          <a:off x="6681107" y="4490356"/>
          <a:ext cx="196850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2000"/>
            <a:t>Not Applicable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19</xdr:row>
      <xdr:rowOff>0</xdr:rowOff>
    </xdr:from>
    <xdr:to>
      <xdr:col>13</xdr:col>
      <xdr:colOff>247657</xdr:colOff>
      <xdr:row>21</xdr:row>
      <xdr:rowOff>152617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98A542-1B19-4CD2-B933-EC2B78E55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667" y="4572000"/>
          <a:ext cx="2036240" cy="55478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7</xdr:col>
      <xdr:colOff>340790</xdr:colOff>
      <xdr:row>22</xdr:row>
      <xdr:rowOff>69009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91E294-3FAA-4F6E-904D-88C303CB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50" y="3629025"/>
          <a:ext cx="2036240" cy="55478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15</xdr:row>
      <xdr:rowOff>142875</xdr:rowOff>
    </xdr:from>
    <xdr:to>
      <xdr:col>8</xdr:col>
      <xdr:colOff>207440</xdr:colOff>
      <xdr:row>19</xdr:row>
      <xdr:rowOff>49959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E2F8D4-0E14-4C61-95C7-A3DC76901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0" y="3133725"/>
          <a:ext cx="2036240" cy="5547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A3C110-C39D-46B5-A7EB-CE21846E6E08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326571</xdr:colOff>
      <xdr:row>14</xdr:row>
      <xdr:rowOff>176892</xdr:rowOff>
    </xdr:from>
    <xdr:ext cx="2064668" cy="37414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844207-CC34-430A-B9DE-5B0AF62C893E}"/>
            </a:ext>
          </a:extLst>
        </xdr:cNvPr>
        <xdr:cNvSpPr txBox="1"/>
      </xdr:nvSpPr>
      <xdr:spPr>
        <a:xfrm>
          <a:off x="12192000" y="3184071"/>
          <a:ext cx="206466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ysClr val="windowText" lastClr="000000"/>
              </a:solidFill>
            </a:rPr>
            <a:t>As per Requirnment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685800</xdr:colOff>
      <xdr:row>16</xdr:row>
      <xdr:rowOff>28575</xdr:rowOff>
    </xdr:from>
    <xdr:ext cx="3438525" cy="6465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3B9561-467F-4CAC-B3DD-264EAF2AFA29}"/>
            </a:ext>
          </a:extLst>
        </xdr:cNvPr>
        <xdr:cNvSpPr txBox="1"/>
      </xdr:nvSpPr>
      <xdr:spPr>
        <a:xfrm>
          <a:off x="3724275" y="3524250"/>
          <a:ext cx="3438525" cy="646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200">
              <a:latin typeface="Adobe Ming Std L" panose="02020300000000000000" pitchFamily="18" charset="-128"/>
              <a:ea typeface="Adobe Ming Std L" panose="02020300000000000000" pitchFamily="18" charset="-128"/>
            </a:rPr>
            <a:t>Not Applicable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3438525" cy="6465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45A825-F7C4-4BB1-BC10-DFC3B0801415}"/>
            </a:ext>
          </a:extLst>
        </xdr:cNvPr>
        <xdr:cNvSpPr txBox="1"/>
      </xdr:nvSpPr>
      <xdr:spPr>
        <a:xfrm>
          <a:off x="3914775" y="4314825"/>
          <a:ext cx="3438525" cy="646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200">
              <a:latin typeface="Adobe Ming Std L" panose="02020300000000000000" pitchFamily="18" charset="-128"/>
              <a:ea typeface="Adobe Ming Std L" panose="02020300000000000000" pitchFamily="18" charset="-128"/>
            </a:rPr>
            <a:t>Not Applicable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0</xdr:rowOff>
    </xdr:from>
    <xdr:ext cx="3438525" cy="6465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876D37-C66E-4013-96A8-0944CCCFFB12}"/>
            </a:ext>
          </a:extLst>
        </xdr:cNvPr>
        <xdr:cNvSpPr txBox="1"/>
      </xdr:nvSpPr>
      <xdr:spPr>
        <a:xfrm>
          <a:off x="4867275" y="3505200"/>
          <a:ext cx="3438525" cy="646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200">
              <a:latin typeface="Adobe Ming Std L" panose="02020300000000000000" pitchFamily="18" charset="-128"/>
              <a:ea typeface="Adobe Ming Std L" panose="02020300000000000000" pitchFamily="18" charset="-128"/>
            </a:rPr>
            <a:t>Not Applicable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21</xdr:row>
      <xdr:rowOff>19050</xdr:rowOff>
    </xdr:from>
    <xdr:ext cx="2024144" cy="468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EDB177-382F-4D25-BCF3-41493C39CBAA}"/>
            </a:ext>
          </a:extLst>
        </xdr:cNvPr>
        <xdr:cNvSpPr txBox="1"/>
      </xdr:nvSpPr>
      <xdr:spPr>
        <a:xfrm>
          <a:off x="4543425" y="4276725"/>
          <a:ext cx="202414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/>
            <a:t>Not Applicable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828675</xdr:colOff>
      <xdr:row>18</xdr:row>
      <xdr:rowOff>123825</xdr:rowOff>
    </xdr:from>
    <xdr:ext cx="2152650" cy="468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AE7467-BA00-463B-95D8-9330784340B7}"/>
            </a:ext>
          </a:extLst>
        </xdr:cNvPr>
        <xdr:cNvSpPr txBox="1"/>
      </xdr:nvSpPr>
      <xdr:spPr>
        <a:xfrm>
          <a:off x="3333750" y="4572000"/>
          <a:ext cx="215265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/>
            <a:t>Not Done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295274</xdr:colOff>
      <xdr:row>14</xdr:row>
      <xdr:rowOff>180975</xdr:rowOff>
    </xdr:from>
    <xdr:ext cx="3838576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BEFAAD-37C2-4F25-B915-238EB0AFD3DC}"/>
            </a:ext>
          </a:extLst>
        </xdr:cNvPr>
        <xdr:cNvSpPr txBox="1"/>
      </xdr:nvSpPr>
      <xdr:spPr>
        <a:xfrm>
          <a:off x="4829174" y="3267075"/>
          <a:ext cx="383857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200"/>
            <a:t>Not Applicable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WPB%202019-20%20Chhattisgarh%20Final%20for%20he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AT 4 enrolment vs availed_PY"/>
      <sheetName val="AT 4A enrolment vs availed_UPY"/>
      <sheetName val="AT-4B"/>
      <sheetName val="AT5_PLAN_vs_PRFM"/>
      <sheetName val="AT5A_PLAN_vs_PRFM "/>
      <sheetName val="AT5B_PLAN_vs_PRFM  (2)"/>
      <sheetName val="AT5C_Drought_PLAN_vs_PRFM "/>
      <sheetName val="AT5D_Drought_PLAN_vs_PRFM  "/>
      <sheetName val="AT6_FG_py_Utlsn"/>
      <sheetName val="AT6A_FG_Upy_Utlsn "/>
      <sheetName val="AT6B_Pay_FG_FCI_Pry"/>
      <sheetName val="AT6C_Coarse_Grain"/>
      <sheetName val="AT7_CC_PY_Utlsn"/>
      <sheetName val="A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"/>
      <sheetName val="AT11_KS Year wise"/>
      <sheetName val="AT11A_KS-District wise"/>
      <sheetName val="AT12_KD-New"/>
      <sheetName val="AT12A_KD-Replacement"/>
      <sheetName val="AT 13 Mode of cooking"/>
      <sheetName val="AT-14 "/>
      <sheetName val="AT-14 A "/>
      <sheetName val="AT-15"/>
      <sheetName val="AT-16"/>
      <sheetName val="AT_17_Coverage-RBSK "/>
      <sheetName val="AT18_Details_Community "/>
      <sheetName val="AT_19_Impl_Agency"/>
      <sheetName val="AT_20_InformationCookingagency "/>
      <sheetName val="AT-21"/>
      <sheetName val="AT-22"/>
      <sheetName val="AT-23 MIS "/>
      <sheetName val="AT-23A _AMS"/>
      <sheetName val="AT-24 "/>
      <sheetName val="AT-25 "/>
      <sheetName val="Sheet1 (2)"/>
      <sheetName val="AT26_NoWD"/>
      <sheetName val="AT26A_NoWD"/>
      <sheetName val="AT27_Req_FG_CA_Pry"/>
      <sheetName val="AT27A_Req_FG_CA_U Pry "/>
      <sheetName val="AT-27B_Req_FG_CA_NCLP"/>
      <sheetName val="AT-27 C_Req_FG_CA_Drought-Pry"/>
      <sheetName val="AT-27 D_Req_FG_CA_Drought-UPry"/>
      <sheetName val="AT_28_RqmtKitchen"/>
      <sheetName val="AT-28 A_RqmtPlinthArea"/>
      <sheetName val="AT-28B_Kitchen repair"/>
      <sheetName val="AT29_Replacement KD "/>
      <sheetName val="AT29 A_Replacement KD"/>
      <sheetName val="AT-30_Coook-cum-Helper"/>
      <sheetName val="AT_31_Budget_provision "/>
      <sheetName val="AT32_Drought Pry Util"/>
      <sheetName val="AT-32A Drought UPry Util"/>
      <sheetName val="AT 34 MME Plan PS"/>
      <sheetName val="AT 34A MME Plan UPS "/>
      <sheetName val="AT 35 LPG GAS STOVE and Con.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C14">
            <v>2445</v>
          </cell>
        </row>
        <row r="15">
          <cell r="C15">
            <v>2678</v>
          </cell>
        </row>
        <row r="16">
          <cell r="C16">
            <v>2288</v>
          </cell>
        </row>
        <row r="17">
          <cell r="C17">
            <v>4367</v>
          </cell>
        </row>
        <row r="18">
          <cell r="C18">
            <v>3801</v>
          </cell>
        </row>
        <row r="19">
          <cell r="C19">
            <v>3433</v>
          </cell>
        </row>
        <row r="20">
          <cell r="C20">
            <v>1549</v>
          </cell>
        </row>
        <row r="21">
          <cell r="C21">
            <v>2251</v>
          </cell>
        </row>
        <row r="22">
          <cell r="C22">
            <v>3011</v>
          </cell>
        </row>
        <row r="23">
          <cell r="C23">
            <v>725</v>
          </cell>
        </row>
        <row r="24">
          <cell r="C24">
            <v>1003</v>
          </cell>
        </row>
        <row r="25">
          <cell r="C25">
            <v>2109</v>
          </cell>
        </row>
        <row r="26">
          <cell r="C26">
            <v>1754</v>
          </cell>
        </row>
        <row r="27">
          <cell r="C27">
            <v>1876</v>
          </cell>
        </row>
        <row r="28">
          <cell r="C28">
            <v>1875</v>
          </cell>
        </row>
        <row r="29">
          <cell r="C29">
            <v>2932</v>
          </cell>
        </row>
        <row r="30">
          <cell r="C30">
            <v>1541</v>
          </cell>
        </row>
        <row r="31">
          <cell r="C31">
            <v>3487</v>
          </cell>
        </row>
        <row r="32">
          <cell r="C32">
            <v>2957</v>
          </cell>
        </row>
        <row r="33">
          <cell r="C33">
            <v>2847</v>
          </cell>
        </row>
        <row r="34">
          <cell r="C34">
            <v>2290</v>
          </cell>
        </row>
        <row r="35">
          <cell r="C35">
            <v>2655</v>
          </cell>
        </row>
        <row r="36">
          <cell r="C36">
            <v>1763</v>
          </cell>
        </row>
        <row r="37">
          <cell r="C37">
            <v>2589</v>
          </cell>
        </row>
        <row r="38">
          <cell r="C38">
            <v>1054</v>
          </cell>
        </row>
        <row r="39">
          <cell r="C39">
            <v>987</v>
          </cell>
        </row>
        <row r="40">
          <cell r="C40">
            <v>1789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mailto:dpi.mdm@gmail.com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30"/>
  <sheetViews>
    <sheetView topLeftCell="A59" zoomScale="91" zoomScaleNormal="91" zoomScaleSheetLayoutView="90" workbookViewId="0">
      <selection activeCell="K69" sqref="K69"/>
    </sheetView>
  </sheetViews>
  <sheetFormatPr defaultRowHeight="12.75" x14ac:dyDescent="0.2"/>
  <cols>
    <col min="15" max="15" width="12.42578125" customWidth="1"/>
  </cols>
  <sheetData>
    <row r="130" spans="1:1" x14ac:dyDescent="0.2">
      <c r="A130" t="s">
        <v>682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S51"/>
  <sheetViews>
    <sheetView tabSelected="1" topLeftCell="A28" zoomScaleSheetLayoutView="90" workbookViewId="0">
      <selection activeCell="A51" sqref="A51:N51"/>
    </sheetView>
  </sheetViews>
  <sheetFormatPr defaultRowHeight="12.75" x14ac:dyDescent="0.2"/>
  <cols>
    <col min="1" max="1" width="7.5703125" customWidth="1"/>
    <col min="2" max="2" width="17.4257812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870"/>
      <c r="E1" s="870"/>
      <c r="F1" s="870"/>
      <c r="G1" s="870"/>
      <c r="H1" s="870"/>
      <c r="I1" s="870"/>
      <c r="J1" s="870"/>
      <c r="K1" s="1"/>
      <c r="M1" s="100" t="s">
        <v>87</v>
      </c>
    </row>
    <row r="2" spans="1:19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</row>
    <row r="3" spans="1:19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</row>
    <row r="4" spans="1:19" ht="11.25" customHeight="1" x14ac:dyDescent="0.2"/>
    <row r="5" spans="1:19" ht="15.75" x14ac:dyDescent="0.25">
      <c r="A5" s="856" t="s">
        <v>792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</row>
    <row r="7" spans="1:19" ht="15" x14ac:dyDescent="0.3">
      <c r="A7" s="197" t="s">
        <v>917</v>
      </c>
      <c r="B7" s="197" t="s">
        <v>916</v>
      </c>
      <c r="L7" s="928" t="s">
        <v>1186</v>
      </c>
      <c r="M7" s="928"/>
      <c r="N7" s="928"/>
    </row>
    <row r="8" spans="1:19" ht="15.75" customHeight="1" x14ac:dyDescent="0.2">
      <c r="A8" s="929" t="s">
        <v>2</v>
      </c>
      <c r="B8" s="929" t="s">
        <v>3</v>
      </c>
      <c r="C8" s="816" t="s">
        <v>4</v>
      </c>
      <c r="D8" s="816"/>
      <c r="E8" s="816"/>
      <c r="F8" s="816"/>
      <c r="G8" s="816"/>
      <c r="H8" s="816" t="s">
        <v>100</v>
      </c>
      <c r="I8" s="816"/>
      <c r="J8" s="816"/>
      <c r="K8" s="816"/>
      <c r="L8" s="816"/>
      <c r="M8" s="929" t="s">
        <v>130</v>
      </c>
      <c r="N8" s="824" t="s">
        <v>131</v>
      </c>
    </row>
    <row r="9" spans="1:19" ht="51" x14ac:dyDescent="0.2">
      <c r="A9" s="930"/>
      <c r="B9" s="930"/>
      <c r="C9" s="5" t="s">
        <v>5</v>
      </c>
      <c r="D9" s="5" t="s">
        <v>6</v>
      </c>
      <c r="E9" s="5" t="s">
        <v>354</v>
      </c>
      <c r="F9" s="5" t="s">
        <v>98</v>
      </c>
      <c r="G9" s="5" t="s">
        <v>203</v>
      </c>
      <c r="H9" s="5" t="s">
        <v>5</v>
      </c>
      <c r="I9" s="5" t="s">
        <v>6</v>
      </c>
      <c r="J9" s="5" t="s">
        <v>354</v>
      </c>
      <c r="K9" s="5" t="s">
        <v>98</v>
      </c>
      <c r="L9" s="5" t="s">
        <v>202</v>
      </c>
      <c r="M9" s="930"/>
      <c r="N9" s="824"/>
      <c r="R9" s="9"/>
      <c r="S9" s="12"/>
    </row>
    <row r="10" spans="1:19" s="14" customFormat="1" x14ac:dyDescent="0.2">
      <c r="A10" s="5">
        <v>1</v>
      </c>
      <c r="B10" s="2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s="14" customFormat="1" x14ac:dyDescent="0.2">
      <c r="A11" s="357">
        <v>1</v>
      </c>
      <c r="B11" s="361" t="s">
        <v>890</v>
      </c>
      <c r="C11" s="353">
        <v>409</v>
      </c>
      <c r="D11" s="355">
        <v>2</v>
      </c>
      <c r="E11" s="5">
        <v>0</v>
      </c>
      <c r="F11" s="355">
        <v>2</v>
      </c>
      <c r="G11" s="355">
        <f>SUM(C11:F11)</f>
        <v>413</v>
      </c>
      <c r="H11" s="355">
        <v>409</v>
      </c>
      <c r="I11" s="355">
        <v>2</v>
      </c>
      <c r="J11" s="355">
        <v>0</v>
      </c>
      <c r="K11" s="355">
        <v>2</v>
      </c>
      <c r="L11" s="355">
        <f>SUM(H11:K11)</f>
        <v>413</v>
      </c>
      <c r="M11" s="360">
        <v>0</v>
      </c>
      <c r="N11" s="5"/>
    </row>
    <row r="12" spans="1:19" s="14" customFormat="1" x14ac:dyDescent="0.2">
      <c r="A12" s="357">
        <v>2</v>
      </c>
      <c r="B12" s="361" t="s">
        <v>891</v>
      </c>
      <c r="C12" s="353">
        <v>636</v>
      </c>
      <c r="D12" s="355">
        <v>2</v>
      </c>
      <c r="E12" s="5">
        <v>0</v>
      </c>
      <c r="F12" s="355">
        <v>0</v>
      </c>
      <c r="G12" s="355">
        <f t="shared" ref="G12:G37" si="0">SUM(C12:F12)</f>
        <v>638</v>
      </c>
      <c r="H12" s="355">
        <v>636</v>
      </c>
      <c r="I12" s="355">
        <v>2</v>
      </c>
      <c r="J12" s="355">
        <v>0</v>
      </c>
      <c r="K12" s="355">
        <v>0</v>
      </c>
      <c r="L12" s="355">
        <f t="shared" ref="L12:L37" si="1">SUM(H12:K12)</f>
        <v>638</v>
      </c>
      <c r="M12" s="360">
        <v>0</v>
      </c>
      <c r="N12" s="5"/>
    </row>
    <row r="13" spans="1:19" s="14" customFormat="1" x14ac:dyDescent="0.2">
      <c r="A13" s="357">
        <v>3</v>
      </c>
      <c r="B13" s="361" t="s">
        <v>892</v>
      </c>
      <c r="C13" s="353">
        <v>552</v>
      </c>
      <c r="D13" s="355">
        <v>9</v>
      </c>
      <c r="E13" s="5">
        <v>0</v>
      </c>
      <c r="F13" s="355">
        <v>10</v>
      </c>
      <c r="G13" s="355">
        <f t="shared" si="0"/>
        <v>571</v>
      </c>
      <c r="H13" s="355">
        <v>552</v>
      </c>
      <c r="I13" s="355">
        <v>9</v>
      </c>
      <c r="J13" s="355">
        <v>0</v>
      </c>
      <c r="K13" s="355">
        <v>10</v>
      </c>
      <c r="L13" s="355">
        <f t="shared" si="1"/>
        <v>571</v>
      </c>
      <c r="M13" s="360">
        <v>0</v>
      </c>
      <c r="N13" s="5"/>
    </row>
    <row r="14" spans="1:19" s="14" customFormat="1" x14ac:dyDescent="0.2">
      <c r="A14" s="357">
        <v>4</v>
      </c>
      <c r="B14" s="361" t="s">
        <v>893</v>
      </c>
      <c r="C14" s="353">
        <v>636</v>
      </c>
      <c r="D14" s="355">
        <v>12</v>
      </c>
      <c r="E14" s="5">
        <v>0</v>
      </c>
      <c r="F14" s="355">
        <v>1</v>
      </c>
      <c r="G14" s="355">
        <f t="shared" si="0"/>
        <v>649</v>
      </c>
      <c r="H14" s="355">
        <v>636</v>
      </c>
      <c r="I14" s="355">
        <v>12</v>
      </c>
      <c r="J14" s="355">
        <v>0</v>
      </c>
      <c r="K14" s="355">
        <v>1</v>
      </c>
      <c r="L14" s="355">
        <f t="shared" si="1"/>
        <v>649</v>
      </c>
      <c r="M14" s="360">
        <v>0</v>
      </c>
      <c r="N14" s="5"/>
    </row>
    <row r="15" spans="1:19" s="14" customFormat="1" x14ac:dyDescent="0.2">
      <c r="A15" s="357">
        <v>5</v>
      </c>
      <c r="B15" s="361" t="s">
        <v>894</v>
      </c>
      <c r="C15" s="353">
        <v>384</v>
      </c>
      <c r="D15" s="355">
        <v>0</v>
      </c>
      <c r="E15" s="5">
        <v>0</v>
      </c>
      <c r="F15" s="355">
        <v>2</v>
      </c>
      <c r="G15" s="355">
        <f t="shared" si="0"/>
        <v>386</v>
      </c>
      <c r="H15" s="355">
        <v>384</v>
      </c>
      <c r="I15" s="355">
        <v>0</v>
      </c>
      <c r="J15" s="355">
        <v>0</v>
      </c>
      <c r="K15" s="355">
        <v>2</v>
      </c>
      <c r="L15" s="355">
        <f t="shared" si="1"/>
        <v>386</v>
      </c>
      <c r="M15" s="360">
        <v>0</v>
      </c>
      <c r="N15" s="5"/>
    </row>
    <row r="16" spans="1:19" s="14" customFormat="1" x14ac:dyDescent="0.2">
      <c r="A16" s="357">
        <v>6</v>
      </c>
      <c r="B16" s="361" t="s">
        <v>895</v>
      </c>
      <c r="C16" s="353">
        <v>202</v>
      </c>
      <c r="D16" s="355">
        <v>2</v>
      </c>
      <c r="E16" s="5">
        <v>0</v>
      </c>
      <c r="F16" s="355">
        <v>0</v>
      </c>
      <c r="G16" s="355">
        <f t="shared" si="0"/>
        <v>204</v>
      </c>
      <c r="H16" s="355">
        <v>202</v>
      </c>
      <c r="I16" s="355">
        <v>2</v>
      </c>
      <c r="J16" s="355">
        <v>0</v>
      </c>
      <c r="K16" s="355">
        <v>0</v>
      </c>
      <c r="L16" s="355">
        <f t="shared" si="1"/>
        <v>204</v>
      </c>
      <c r="M16" s="360">
        <v>0</v>
      </c>
      <c r="N16" s="5"/>
    </row>
    <row r="17" spans="1:14" s="14" customFormat="1" x14ac:dyDescent="0.2">
      <c r="A17" s="357">
        <v>7</v>
      </c>
      <c r="B17" s="361" t="s">
        <v>896</v>
      </c>
      <c r="C17" s="353">
        <v>757</v>
      </c>
      <c r="D17" s="355">
        <v>23</v>
      </c>
      <c r="E17" s="5">
        <v>0</v>
      </c>
      <c r="F17" s="355">
        <v>2</v>
      </c>
      <c r="G17" s="355">
        <f t="shared" si="0"/>
        <v>782</v>
      </c>
      <c r="H17" s="355">
        <v>757</v>
      </c>
      <c r="I17" s="355">
        <v>23</v>
      </c>
      <c r="J17" s="355">
        <v>0</v>
      </c>
      <c r="K17" s="355">
        <v>2</v>
      </c>
      <c r="L17" s="355">
        <f t="shared" si="1"/>
        <v>782</v>
      </c>
      <c r="M17" s="360">
        <v>0</v>
      </c>
      <c r="N17" s="5"/>
    </row>
    <row r="18" spans="1:14" s="14" customFormat="1" x14ac:dyDescent="0.2">
      <c r="A18" s="357">
        <v>8</v>
      </c>
      <c r="B18" s="361" t="s">
        <v>897</v>
      </c>
      <c r="C18" s="353">
        <v>227</v>
      </c>
      <c r="D18" s="355">
        <v>9</v>
      </c>
      <c r="E18" s="5">
        <v>0</v>
      </c>
      <c r="F18" s="355">
        <v>1</v>
      </c>
      <c r="G18" s="355">
        <f t="shared" si="0"/>
        <v>237</v>
      </c>
      <c r="H18" s="355">
        <v>227</v>
      </c>
      <c r="I18" s="355">
        <v>9</v>
      </c>
      <c r="J18" s="355">
        <v>0</v>
      </c>
      <c r="K18" s="355">
        <v>1</v>
      </c>
      <c r="L18" s="355">
        <f t="shared" si="1"/>
        <v>237</v>
      </c>
      <c r="M18" s="360">
        <v>0</v>
      </c>
      <c r="N18" s="5"/>
    </row>
    <row r="19" spans="1:14" s="14" customFormat="1" x14ac:dyDescent="0.2">
      <c r="A19" s="357">
        <v>9</v>
      </c>
      <c r="B19" s="361" t="s">
        <v>920</v>
      </c>
      <c r="C19" s="353">
        <v>446</v>
      </c>
      <c r="D19" s="355">
        <v>4</v>
      </c>
      <c r="E19" s="5">
        <v>0</v>
      </c>
      <c r="F19" s="355">
        <v>2</v>
      </c>
      <c r="G19" s="355">
        <f t="shared" si="0"/>
        <v>452</v>
      </c>
      <c r="H19" s="355">
        <v>446</v>
      </c>
      <c r="I19" s="355">
        <v>4</v>
      </c>
      <c r="J19" s="355">
        <v>0</v>
      </c>
      <c r="K19" s="355">
        <v>2</v>
      </c>
      <c r="L19" s="355">
        <f t="shared" si="1"/>
        <v>452</v>
      </c>
      <c r="M19" s="360">
        <v>0</v>
      </c>
      <c r="N19" s="5"/>
    </row>
    <row r="20" spans="1:14" s="14" customFormat="1" x14ac:dyDescent="0.2">
      <c r="A20" s="357">
        <v>10</v>
      </c>
      <c r="B20" s="361" t="s">
        <v>899</v>
      </c>
      <c r="C20" s="353">
        <v>340</v>
      </c>
      <c r="D20" s="355">
        <v>13</v>
      </c>
      <c r="E20" s="5">
        <v>0</v>
      </c>
      <c r="F20" s="355">
        <v>8</v>
      </c>
      <c r="G20" s="355">
        <f t="shared" si="0"/>
        <v>361</v>
      </c>
      <c r="H20" s="355">
        <v>340</v>
      </c>
      <c r="I20" s="355">
        <v>13</v>
      </c>
      <c r="J20" s="355">
        <v>0</v>
      </c>
      <c r="K20" s="355">
        <v>8</v>
      </c>
      <c r="L20" s="355">
        <f t="shared" si="1"/>
        <v>361</v>
      </c>
      <c r="M20" s="360">
        <v>0</v>
      </c>
      <c r="N20" s="5"/>
    </row>
    <row r="21" spans="1:14" s="14" customFormat="1" x14ac:dyDescent="0.2">
      <c r="A21" s="357">
        <v>11</v>
      </c>
      <c r="B21" s="361" t="s">
        <v>900</v>
      </c>
      <c r="C21" s="353">
        <v>450</v>
      </c>
      <c r="D21" s="355">
        <v>0</v>
      </c>
      <c r="E21" s="5">
        <v>0</v>
      </c>
      <c r="F21" s="355">
        <v>0</v>
      </c>
      <c r="G21" s="355">
        <f t="shared" si="0"/>
        <v>450</v>
      </c>
      <c r="H21" s="355">
        <v>450</v>
      </c>
      <c r="I21" s="355">
        <v>0</v>
      </c>
      <c r="J21" s="355">
        <v>0</v>
      </c>
      <c r="K21" s="355">
        <v>0</v>
      </c>
      <c r="L21" s="355">
        <f t="shared" si="1"/>
        <v>450</v>
      </c>
      <c r="M21" s="360">
        <v>0</v>
      </c>
      <c r="N21" s="5"/>
    </row>
    <row r="22" spans="1:14" s="14" customFormat="1" x14ac:dyDescent="0.2">
      <c r="A22" s="357">
        <v>12</v>
      </c>
      <c r="B22" s="361" t="s">
        <v>901</v>
      </c>
      <c r="C22" s="353">
        <v>775</v>
      </c>
      <c r="D22" s="355">
        <v>16</v>
      </c>
      <c r="E22" s="5">
        <v>0</v>
      </c>
      <c r="F22" s="355">
        <v>0</v>
      </c>
      <c r="G22" s="355">
        <f t="shared" si="0"/>
        <v>791</v>
      </c>
      <c r="H22" s="355">
        <v>775</v>
      </c>
      <c r="I22" s="355">
        <v>16</v>
      </c>
      <c r="J22" s="355">
        <v>0</v>
      </c>
      <c r="K22" s="355">
        <v>0</v>
      </c>
      <c r="L22" s="355">
        <f t="shared" si="1"/>
        <v>791</v>
      </c>
      <c r="M22" s="360">
        <v>0</v>
      </c>
      <c r="N22" s="5"/>
    </row>
    <row r="23" spans="1:14" s="14" customFormat="1" x14ac:dyDescent="0.2">
      <c r="A23" s="357">
        <v>13</v>
      </c>
      <c r="B23" s="361" t="s">
        <v>902</v>
      </c>
      <c r="C23" s="353">
        <v>466</v>
      </c>
      <c r="D23" s="355">
        <v>48</v>
      </c>
      <c r="E23" s="5">
        <v>0</v>
      </c>
      <c r="F23" s="355">
        <v>7</v>
      </c>
      <c r="G23" s="355">
        <f t="shared" si="0"/>
        <v>521</v>
      </c>
      <c r="H23" s="355">
        <v>466</v>
      </c>
      <c r="I23" s="355">
        <v>48</v>
      </c>
      <c r="J23" s="355">
        <v>0</v>
      </c>
      <c r="K23" s="355">
        <v>7</v>
      </c>
      <c r="L23" s="355">
        <f t="shared" si="1"/>
        <v>521</v>
      </c>
      <c r="M23" s="360">
        <v>0</v>
      </c>
      <c r="N23" s="5"/>
    </row>
    <row r="24" spans="1:14" x14ac:dyDescent="0.2">
      <c r="A24" s="357">
        <v>14</v>
      </c>
      <c r="B24" s="361" t="s">
        <v>903</v>
      </c>
      <c r="C24" s="354">
        <v>611</v>
      </c>
      <c r="D24" s="356">
        <v>1</v>
      </c>
      <c r="E24" s="5">
        <v>0</v>
      </c>
      <c r="F24" s="356">
        <v>3</v>
      </c>
      <c r="G24" s="355">
        <f t="shared" si="0"/>
        <v>615</v>
      </c>
      <c r="H24" s="356">
        <v>611</v>
      </c>
      <c r="I24" s="356">
        <v>1</v>
      </c>
      <c r="J24" s="356">
        <v>0</v>
      </c>
      <c r="K24" s="356">
        <v>3</v>
      </c>
      <c r="L24" s="355">
        <f t="shared" si="1"/>
        <v>615</v>
      </c>
      <c r="M24" s="360">
        <v>0</v>
      </c>
      <c r="N24" s="9"/>
    </row>
    <row r="25" spans="1:14" x14ac:dyDescent="0.2">
      <c r="A25" s="357">
        <v>15</v>
      </c>
      <c r="B25" s="361" t="s">
        <v>904</v>
      </c>
      <c r="C25" s="354">
        <v>494</v>
      </c>
      <c r="D25" s="356">
        <v>1</v>
      </c>
      <c r="E25" s="5">
        <v>0</v>
      </c>
      <c r="F25" s="356">
        <v>1</v>
      </c>
      <c r="G25" s="355">
        <f t="shared" si="0"/>
        <v>496</v>
      </c>
      <c r="H25" s="356">
        <v>494</v>
      </c>
      <c r="I25" s="356">
        <v>1</v>
      </c>
      <c r="J25" s="356">
        <v>0</v>
      </c>
      <c r="K25" s="356">
        <v>1</v>
      </c>
      <c r="L25" s="355">
        <f t="shared" si="1"/>
        <v>496</v>
      </c>
      <c r="M25" s="360">
        <v>0</v>
      </c>
      <c r="N25" s="9"/>
    </row>
    <row r="26" spans="1:14" x14ac:dyDescent="0.2">
      <c r="A26" s="357">
        <v>16</v>
      </c>
      <c r="B26" s="361" t="s">
        <v>905</v>
      </c>
      <c r="C26" s="354">
        <v>603</v>
      </c>
      <c r="D26" s="356">
        <v>0</v>
      </c>
      <c r="E26" s="5">
        <v>0</v>
      </c>
      <c r="F26" s="356">
        <v>1</v>
      </c>
      <c r="G26" s="355">
        <f t="shared" si="0"/>
        <v>604</v>
      </c>
      <c r="H26" s="356">
        <v>603</v>
      </c>
      <c r="I26" s="356">
        <v>0</v>
      </c>
      <c r="J26" s="356">
        <v>0</v>
      </c>
      <c r="K26" s="356">
        <v>1</v>
      </c>
      <c r="L26" s="355">
        <f t="shared" si="1"/>
        <v>604</v>
      </c>
      <c r="M26" s="360">
        <v>0</v>
      </c>
      <c r="N26" s="9"/>
    </row>
    <row r="27" spans="1:14" x14ac:dyDescent="0.2">
      <c r="A27" s="357">
        <v>17</v>
      </c>
      <c r="B27" s="361" t="s">
        <v>906</v>
      </c>
      <c r="C27" s="354">
        <v>520</v>
      </c>
      <c r="D27" s="356">
        <v>4</v>
      </c>
      <c r="E27" s="5">
        <v>0</v>
      </c>
      <c r="F27" s="356">
        <v>1</v>
      </c>
      <c r="G27" s="355">
        <f t="shared" si="0"/>
        <v>525</v>
      </c>
      <c r="H27" s="356">
        <v>520</v>
      </c>
      <c r="I27" s="356">
        <v>4</v>
      </c>
      <c r="J27" s="356">
        <v>0</v>
      </c>
      <c r="K27" s="356">
        <v>1</v>
      </c>
      <c r="L27" s="355">
        <f t="shared" si="1"/>
        <v>525</v>
      </c>
      <c r="M27" s="360">
        <v>0</v>
      </c>
      <c r="N27" s="9"/>
    </row>
    <row r="28" spans="1:14" x14ac:dyDescent="0.2">
      <c r="A28" s="357">
        <v>18</v>
      </c>
      <c r="B28" s="361" t="s">
        <v>907</v>
      </c>
      <c r="C28" s="354">
        <v>413</v>
      </c>
      <c r="D28" s="356">
        <v>4</v>
      </c>
      <c r="E28" s="5">
        <v>0</v>
      </c>
      <c r="F28" s="356">
        <v>2</v>
      </c>
      <c r="G28" s="355">
        <f t="shared" si="0"/>
        <v>419</v>
      </c>
      <c r="H28" s="356">
        <v>413</v>
      </c>
      <c r="I28" s="356">
        <v>4</v>
      </c>
      <c r="J28" s="356">
        <v>0</v>
      </c>
      <c r="K28" s="356">
        <v>2</v>
      </c>
      <c r="L28" s="355">
        <f t="shared" si="1"/>
        <v>419</v>
      </c>
      <c r="M28" s="360">
        <v>0</v>
      </c>
      <c r="N28" s="9"/>
    </row>
    <row r="29" spans="1:14" x14ac:dyDescent="0.2">
      <c r="A29" s="357">
        <v>19</v>
      </c>
      <c r="B29" s="361" t="s">
        <v>908</v>
      </c>
      <c r="C29" s="354">
        <v>492</v>
      </c>
      <c r="D29" s="356">
        <v>9</v>
      </c>
      <c r="E29" s="5">
        <v>0</v>
      </c>
      <c r="F29" s="356">
        <v>1</v>
      </c>
      <c r="G29" s="355">
        <f t="shared" si="0"/>
        <v>502</v>
      </c>
      <c r="H29" s="356">
        <v>492</v>
      </c>
      <c r="I29" s="356">
        <v>9</v>
      </c>
      <c r="J29" s="356">
        <v>0</v>
      </c>
      <c r="K29" s="356">
        <v>1</v>
      </c>
      <c r="L29" s="355">
        <f t="shared" si="1"/>
        <v>502</v>
      </c>
      <c r="M29" s="360">
        <v>0</v>
      </c>
      <c r="N29" s="9"/>
    </row>
    <row r="30" spans="1:14" x14ac:dyDescent="0.2">
      <c r="A30" s="357">
        <v>20</v>
      </c>
      <c r="B30" s="361" t="s">
        <v>909</v>
      </c>
      <c r="C30" s="354">
        <v>273</v>
      </c>
      <c r="D30" s="356">
        <v>2</v>
      </c>
      <c r="E30" s="5">
        <v>0</v>
      </c>
      <c r="F30" s="356">
        <v>0</v>
      </c>
      <c r="G30" s="355">
        <f t="shared" si="0"/>
        <v>275</v>
      </c>
      <c r="H30" s="356">
        <v>273</v>
      </c>
      <c r="I30" s="356">
        <v>2</v>
      </c>
      <c r="J30" s="356">
        <v>0</v>
      </c>
      <c r="K30" s="356">
        <v>0</v>
      </c>
      <c r="L30" s="355">
        <f t="shared" si="1"/>
        <v>275</v>
      </c>
      <c r="M30" s="360">
        <v>0</v>
      </c>
      <c r="N30" s="9"/>
    </row>
    <row r="31" spans="1:14" x14ac:dyDescent="0.2">
      <c r="A31" s="357">
        <v>21</v>
      </c>
      <c r="B31" s="361" t="s">
        <v>910</v>
      </c>
      <c r="C31" s="354">
        <v>138</v>
      </c>
      <c r="D31" s="356">
        <v>8</v>
      </c>
      <c r="E31" s="5">
        <v>0</v>
      </c>
      <c r="F31" s="356">
        <v>0</v>
      </c>
      <c r="G31" s="355">
        <f t="shared" si="0"/>
        <v>146</v>
      </c>
      <c r="H31" s="356">
        <v>138</v>
      </c>
      <c r="I31" s="356">
        <v>8</v>
      </c>
      <c r="J31" s="356">
        <v>0</v>
      </c>
      <c r="K31" s="356">
        <v>0</v>
      </c>
      <c r="L31" s="355">
        <f t="shared" si="1"/>
        <v>146</v>
      </c>
      <c r="M31" s="360">
        <v>0</v>
      </c>
      <c r="N31" s="9"/>
    </row>
    <row r="32" spans="1:14" x14ac:dyDescent="0.2">
      <c r="A32" s="357">
        <v>22</v>
      </c>
      <c r="B32" s="361" t="s">
        <v>911</v>
      </c>
      <c r="C32" s="354">
        <v>904</v>
      </c>
      <c r="D32" s="356">
        <v>13</v>
      </c>
      <c r="E32" s="5">
        <v>0</v>
      </c>
      <c r="F32" s="356">
        <v>2</v>
      </c>
      <c r="G32" s="355">
        <f t="shared" si="0"/>
        <v>919</v>
      </c>
      <c r="H32" s="356">
        <v>904</v>
      </c>
      <c r="I32" s="356">
        <v>13</v>
      </c>
      <c r="J32" s="356">
        <v>0</v>
      </c>
      <c r="K32" s="356">
        <v>2</v>
      </c>
      <c r="L32" s="355">
        <f t="shared" si="1"/>
        <v>919</v>
      </c>
      <c r="M32" s="360">
        <v>0</v>
      </c>
      <c r="N32" s="9"/>
    </row>
    <row r="33" spans="1:14" x14ac:dyDescent="0.2">
      <c r="A33" s="357">
        <v>23</v>
      </c>
      <c r="B33" s="361" t="s">
        <v>912</v>
      </c>
      <c r="C33" s="354">
        <v>461</v>
      </c>
      <c r="D33" s="356">
        <v>16</v>
      </c>
      <c r="E33" s="5">
        <v>0</v>
      </c>
      <c r="F33" s="356">
        <v>5</v>
      </c>
      <c r="G33" s="355">
        <f t="shared" si="0"/>
        <v>482</v>
      </c>
      <c r="H33" s="356">
        <v>461</v>
      </c>
      <c r="I33" s="356">
        <v>16</v>
      </c>
      <c r="J33" s="356">
        <v>0</v>
      </c>
      <c r="K33" s="356">
        <v>5</v>
      </c>
      <c r="L33" s="355">
        <f t="shared" si="1"/>
        <v>482</v>
      </c>
      <c r="M33" s="360">
        <v>0</v>
      </c>
      <c r="N33" s="9"/>
    </row>
    <row r="34" spans="1:14" x14ac:dyDescent="0.2">
      <c r="A34" s="357">
        <v>24</v>
      </c>
      <c r="B34" s="361" t="s">
        <v>913</v>
      </c>
      <c r="C34" s="354">
        <v>787</v>
      </c>
      <c r="D34" s="356">
        <v>6</v>
      </c>
      <c r="E34" s="5">
        <v>0</v>
      </c>
      <c r="F34" s="356">
        <v>2</v>
      </c>
      <c r="G34" s="355">
        <f t="shared" si="0"/>
        <v>795</v>
      </c>
      <c r="H34" s="356">
        <v>787</v>
      </c>
      <c r="I34" s="356">
        <v>6</v>
      </c>
      <c r="J34" s="356">
        <v>0</v>
      </c>
      <c r="K34" s="356">
        <v>2</v>
      </c>
      <c r="L34" s="355">
        <f t="shared" si="1"/>
        <v>795</v>
      </c>
      <c r="M34" s="360">
        <v>0</v>
      </c>
      <c r="N34" s="9"/>
    </row>
    <row r="35" spans="1:14" x14ac:dyDescent="0.2">
      <c r="A35" s="357">
        <v>25</v>
      </c>
      <c r="B35" s="361" t="s">
        <v>919</v>
      </c>
      <c r="C35" s="354">
        <v>565</v>
      </c>
      <c r="D35" s="356">
        <v>10</v>
      </c>
      <c r="E35" s="5">
        <v>0</v>
      </c>
      <c r="F35" s="356">
        <v>1</v>
      </c>
      <c r="G35" s="355">
        <f t="shared" si="0"/>
        <v>576</v>
      </c>
      <c r="H35" s="356">
        <v>565</v>
      </c>
      <c r="I35" s="356">
        <v>10</v>
      </c>
      <c r="J35" s="356">
        <v>0</v>
      </c>
      <c r="K35" s="356">
        <v>1</v>
      </c>
      <c r="L35" s="355">
        <f t="shared" si="1"/>
        <v>576</v>
      </c>
      <c r="M35" s="360">
        <v>0</v>
      </c>
      <c r="N35" s="9"/>
    </row>
    <row r="36" spans="1:14" x14ac:dyDescent="0.2">
      <c r="A36" s="357">
        <v>26</v>
      </c>
      <c r="B36" s="361" t="s">
        <v>914</v>
      </c>
      <c r="C36" s="354">
        <v>213</v>
      </c>
      <c r="D36" s="356">
        <v>3</v>
      </c>
      <c r="E36" s="5">
        <v>0</v>
      </c>
      <c r="F36" s="356">
        <v>0</v>
      </c>
      <c r="G36" s="355">
        <f t="shared" si="0"/>
        <v>216</v>
      </c>
      <c r="H36" s="356">
        <v>213</v>
      </c>
      <c r="I36" s="356">
        <v>3</v>
      </c>
      <c r="J36" s="356">
        <v>0</v>
      </c>
      <c r="K36" s="356">
        <v>0</v>
      </c>
      <c r="L36" s="355">
        <f t="shared" si="1"/>
        <v>216</v>
      </c>
      <c r="M36" s="360">
        <v>0</v>
      </c>
      <c r="N36" s="9"/>
    </row>
    <row r="37" spans="1:14" ht="15" x14ac:dyDescent="0.2">
      <c r="A37" s="357">
        <v>27</v>
      </c>
      <c r="B37" s="362" t="s">
        <v>915</v>
      </c>
      <c r="C37" s="354">
        <v>556</v>
      </c>
      <c r="D37" s="356">
        <v>5</v>
      </c>
      <c r="E37" s="5">
        <v>0</v>
      </c>
      <c r="F37" s="356">
        <v>3</v>
      </c>
      <c r="G37" s="355">
        <f t="shared" si="0"/>
        <v>564</v>
      </c>
      <c r="H37" s="356">
        <v>556</v>
      </c>
      <c r="I37" s="356">
        <v>5</v>
      </c>
      <c r="J37" s="356">
        <v>0</v>
      </c>
      <c r="K37" s="356">
        <v>3</v>
      </c>
      <c r="L37" s="355">
        <f t="shared" si="1"/>
        <v>564</v>
      </c>
      <c r="M37" s="360">
        <v>0</v>
      </c>
      <c r="N37" s="9"/>
    </row>
    <row r="38" spans="1:14" x14ac:dyDescent="0.2">
      <c r="A38" s="3" t="s">
        <v>18</v>
      </c>
      <c r="B38" s="352"/>
      <c r="C38" s="9">
        <f t="shared" ref="C38:M38" si="2">SUM(C11:C37)</f>
        <v>13310</v>
      </c>
      <c r="D38" s="9">
        <f t="shared" si="2"/>
        <v>222</v>
      </c>
      <c r="E38" s="9">
        <f t="shared" si="2"/>
        <v>0</v>
      </c>
      <c r="F38" s="9">
        <f t="shared" si="2"/>
        <v>57</v>
      </c>
      <c r="G38" s="9">
        <f t="shared" si="2"/>
        <v>13589</v>
      </c>
      <c r="H38" s="9">
        <f t="shared" si="2"/>
        <v>13310</v>
      </c>
      <c r="I38" s="9">
        <f t="shared" si="2"/>
        <v>222</v>
      </c>
      <c r="J38" s="9">
        <f t="shared" si="2"/>
        <v>0</v>
      </c>
      <c r="K38" s="9">
        <f t="shared" si="2"/>
        <v>57</v>
      </c>
      <c r="L38" s="9">
        <f t="shared" si="2"/>
        <v>13589</v>
      </c>
      <c r="M38" s="345">
        <f t="shared" si="2"/>
        <v>0</v>
      </c>
      <c r="N38" s="9"/>
    </row>
    <row r="39" spans="1:14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">
      <c r="A40" s="10" t="s">
        <v>8</v>
      </c>
    </row>
    <row r="41" spans="1:14" x14ac:dyDescent="0.2">
      <c r="A41" t="s">
        <v>9</v>
      </c>
    </row>
    <row r="42" spans="1:14" x14ac:dyDescent="0.2">
      <c r="A42" t="s">
        <v>10</v>
      </c>
      <c r="L42" s="11" t="s">
        <v>11</v>
      </c>
      <c r="M42" s="11"/>
      <c r="N42" s="11" t="s">
        <v>11</v>
      </c>
    </row>
    <row r="43" spans="1:14" x14ac:dyDescent="0.2">
      <c r="A43" s="15" t="s">
        <v>426</v>
      </c>
      <c r="J43" s="11"/>
      <c r="K43" s="11"/>
      <c r="L43" s="11"/>
    </row>
    <row r="44" spans="1:14" x14ac:dyDescent="0.2">
      <c r="C44" s="15" t="s">
        <v>427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4" x14ac:dyDescent="0.2"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.75" customHeight="1" x14ac:dyDescent="0.25">
      <c r="A47" s="13"/>
      <c r="B47" s="13"/>
      <c r="C47" s="13"/>
      <c r="D47" s="13"/>
      <c r="E47" s="13"/>
      <c r="F47" s="13"/>
      <c r="G47" s="13"/>
      <c r="H47" s="14"/>
      <c r="I47" s="810" t="s">
        <v>13</v>
      </c>
      <c r="J47" s="810"/>
      <c r="K47" s="810"/>
      <c r="L47" s="810"/>
      <c r="M47" s="810"/>
      <c r="N47" s="563"/>
    </row>
    <row r="48" spans="1:14" ht="15.75" customHeight="1" x14ac:dyDescent="0.2">
      <c r="A48" s="567"/>
      <c r="B48" s="567"/>
      <c r="C48" s="567"/>
      <c r="D48" s="567"/>
      <c r="E48" s="567"/>
      <c r="F48" s="567"/>
      <c r="G48" s="567"/>
      <c r="H48" s="563"/>
      <c r="I48" s="810" t="s">
        <v>14</v>
      </c>
      <c r="J48" s="810"/>
      <c r="K48" s="810"/>
      <c r="L48" s="810"/>
      <c r="M48" s="810"/>
      <c r="N48" s="563"/>
    </row>
    <row r="49" spans="1:14" ht="15.75" customHeight="1" x14ac:dyDescent="0.25">
      <c r="A49" s="492" t="s">
        <v>12</v>
      </c>
      <c r="B49" s="567"/>
      <c r="C49" s="567"/>
      <c r="D49" s="567"/>
      <c r="E49" s="567"/>
      <c r="F49" s="567"/>
      <c r="G49" s="567"/>
      <c r="H49" s="810" t="s">
        <v>918</v>
      </c>
      <c r="I49" s="810"/>
      <c r="J49" s="810"/>
      <c r="K49" s="810"/>
      <c r="L49" s="810"/>
      <c r="M49" s="810"/>
      <c r="N49" s="810"/>
    </row>
    <row r="50" spans="1:14" x14ac:dyDescent="0.2">
      <c r="H50" s="811" t="s">
        <v>82</v>
      </c>
      <c r="I50" s="811"/>
      <c r="J50" s="811"/>
      <c r="K50" s="811"/>
      <c r="L50" s="811"/>
      <c r="M50" s="811"/>
      <c r="N50" s="811"/>
    </row>
    <row r="51" spans="1:14" x14ac:dyDescent="0.2">
      <c r="A51" s="931"/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</row>
  </sheetData>
  <mergeCells count="16">
    <mergeCell ref="D1:J1"/>
    <mergeCell ref="A2:N2"/>
    <mergeCell ref="A3:N3"/>
    <mergeCell ref="A5:N5"/>
    <mergeCell ref="L7:N7"/>
    <mergeCell ref="A51:N51"/>
    <mergeCell ref="M8:M9"/>
    <mergeCell ref="N8:N9"/>
    <mergeCell ref="A8:A9"/>
    <mergeCell ref="B8:B9"/>
    <mergeCell ref="C8:G8"/>
    <mergeCell ref="H8:L8"/>
    <mergeCell ref="I47:M47"/>
    <mergeCell ref="I48:M48"/>
    <mergeCell ref="H49:N49"/>
    <mergeCell ref="H50:N5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S51"/>
  <sheetViews>
    <sheetView topLeftCell="A14" zoomScaleSheetLayoutView="80" workbookViewId="0">
      <selection activeCell="M16" sqref="M16"/>
    </sheetView>
  </sheetViews>
  <sheetFormatPr defaultRowHeight="12.75" x14ac:dyDescent="0.2"/>
  <cols>
    <col min="2" max="2" width="16.425781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870"/>
      <c r="E1" s="870"/>
      <c r="F1" s="870"/>
      <c r="G1" s="870"/>
      <c r="H1" s="870"/>
      <c r="I1" s="870"/>
      <c r="J1" s="870"/>
      <c r="M1" s="100" t="s">
        <v>248</v>
      </c>
    </row>
    <row r="2" spans="1:19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</row>
    <row r="3" spans="1:19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</row>
    <row r="4" spans="1:19" ht="11.25" customHeight="1" x14ac:dyDescent="0.2"/>
    <row r="5" spans="1:19" ht="15.75" x14ac:dyDescent="0.25">
      <c r="A5" s="856" t="s">
        <v>793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</row>
    <row r="7" spans="1:19" ht="15" x14ac:dyDescent="0.3">
      <c r="A7" s="197" t="s">
        <v>917</v>
      </c>
      <c r="B7" s="197" t="s">
        <v>916</v>
      </c>
      <c r="L7" s="928" t="s">
        <v>1186</v>
      </c>
      <c r="M7" s="928"/>
      <c r="N7" s="928"/>
      <c r="O7" s="108"/>
    </row>
    <row r="8" spans="1:19" ht="15.75" customHeight="1" x14ac:dyDescent="0.2">
      <c r="A8" s="929" t="s">
        <v>2</v>
      </c>
      <c r="B8" s="929" t="s">
        <v>3</v>
      </c>
      <c r="C8" s="816" t="s">
        <v>4</v>
      </c>
      <c r="D8" s="816"/>
      <c r="E8" s="816"/>
      <c r="F8" s="818"/>
      <c r="G8" s="818"/>
      <c r="H8" s="816" t="s">
        <v>100</v>
      </c>
      <c r="I8" s="816"/>
      <c r="J8" s="816"/>
      <c r="K8" s="816"/>
      <c r="L8" s="816"/>
      <c r="M8" s="929" t="s">
        <v>1189</v>
      </c>
      <c r="N8" s="824" t="s">
        <v>131</v>
      </c>
    </row>
    <row r="9" spans="1:19" ht="51" x14ac:dyDescent="0.2">
      <c r="A9" s="930"/>
      <c r="B9" s="930"/>
      <c r="C9" s="5" t="s">
        <v>5</v>
      </c>
      <c r="D9" s="5" t="s">
        <v>6</v>
      </c>
      <c r="E9" s="5" t="s">
        <v>354</v>
      </c>
      <c r="F9" s="5" t="s">
        <v>98</v>
      </c>
      <c r="G9" s="5" t="s">
        <v>113</v>
      </c>
      <c r="H9" s="5" t="s">
        <v>5</v>
      </c>
      <c r="I9" s="5" t="s">
        <v>6</v>
      </c>
      <c r="J9" s="5" t="s">
        <v>354</v>
      </c>
      <c r="K9" s="7" t="s">
        <v>98</v>
      </c>
      <c r="L9" s="7" t="s">
        <v>114</v>
      </c>
      <c r="M9" s="930"/>
      <c r="N9" s="824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7">
        <v>12</v>
      </c>
      <c r="M10" s="107">
        <v>13</v>
      </c>
      <c r="N10" s="3">
        <v>14</v>
      </c>
    </row>
    <row r="11" spans="1:19" s="14" customFormat="1" x14ac:dyDescent="0.2">
      <c r="A11" s="258">
        <v>1</v>
      </c>
      <c r="B11" s="361" t="s">
        <v>890</v>
      </c>
      <c r="C11" s="355">
        <v>0</v>
      </c>
      <c r="D11" s="355">
        <v>0</v>
      </c>
      <c r="E11" s="355">
        <v>0</v>
      </c>
      <c r="F11" s="355">
        <v>0</v>
      </c>
      <c r="G11" s="355">
        <f>SUM(C11:F11)</f>
        <v>0</v>
      </c>
      <c r="H11" s="355">
        <v>0</v>
      </c>
      <c r="I11" s="355">
        <v>0</v>
      </c>
      <c r="J11" s="355">
        <v>0</v>
      </c>
      <c r="K11" s="355">
        <v>0</v>
      </c>
      <c r="L11" s="27">
        <v>0</v>
      </c>
      <c r="M11" s="27">
        <v>0</v>
      </c>
      <c r="N11" s="27">
        <v>0</v>
      </c>
    </row>
    <row r="12" spans="1:19" s="14" customFormat="1" x14ac:dyDescent="0.2">
      <c r="A12" s="258">
        <v>2</v>
      </c>
      <c r="B12" s="361" t="s">
        <v>891</v>
      </c>
      <c r="C12" s="355">
        <v>0</v>
      </c>
      <c r="D12" s="355">
        <v>0</v>
      </c>
      <c r="E12" s="355">
        <v>0</v>
      </c>
      <c r="F12" s="355">
        <v>0</v>
      </c>
      <c r="G12" s="355">
        <f t="shared" ref="G12:G37" si="0">SUM(C12:F12)</f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f t="shared" ref="L12:L37" si="1">SUM(H12:K12)</f>
        <v>0</v>
      </c>
      <c r="M12" s="27">
        <v>0</v>
      </c>
      <c r="N12" s="27">
        <v>0</v>
      </c>
    </row>
    <row r="13" spans="1:19" s="14" customFormat="1" x14ac:dyDescent="0.2">
      <c r="A13" s="258">
        <v>3</v>
      </c>
      <c r="B13" s="361" t="s">
        <v>892</v>
      </c>
      <c r="C13" s="355">
        <v>0</v>
      </c>
      <c r="D13" s="355">
        <v>0</v>
      </c>
      <c r="E13" s="355">
        <v>0</v>
      </c>
      <c r="F13" s="355">
        <v>0</v>
      </c>
      <c r="G13" s="355">
        <f t="shared" si="0"/>
        <v>0</v>
      </c>
      <c r="H13" s="355">
        <v>0</v>
      </c>
      <c r="I13" s="355">
        <v>0</v>
      </c>
      <c r="J13" s="355">
        <v>0</v>
      </c>
      <c r="K13" s="355">
        <v>0</v>
      </c>
      <c r="L13" s="355">
        <f t="shared" si="1"/>
        <v>0</v>
      </c>
      <c r="M13" s="27">
        <v>0</v>
      </c>
      <c r="N13" s="27">
        <v>0</v>
      </c>
    </row>
    <row r="14" spans="1:19" s="14" customFormat="1" x14ac:dyDescent="0.2">
      <c r="A14" s="258">
        <v>4</v>
      </c>
      <c r="B14" s="361" t="s">
        <v>893</v>
      </c>
      <c r="C14" s="355">
        <v>0</v>
      </c>
      <c r="D14" s="355">
        <v>0</v>
      </c>
      <c r="E14" s="355">
        <v>0</v>
      </c>
      <c r="F14" s="355">
        <v>0</v>
      </c>
      <c r="G14" s="355">
        <f t="shared" si="0"/>
        <v>0</v>
      </c>
      <c r="H14" s="355">
        <v>0</v>
      </c>
      <c r="I14" s="355">
        <v>0</v>
      </c>
      <c r="J14" s="355">
        <v>0</v>
      </c>
      <c r="K14" s="355">
        <v>0</v>
      </c>
      <c r="L14" s="355">
        <f t="shared" si="1"/>
        <v>0</v>
      </c>
      <c r="M14" s="27">
        <v>0</v>
      </c>
      <c r="N14" s="27">
        <v>0</v>
      </c>
    </row>
    <row r="15" spans="1:19" s="14" customFormat="1" x14ac:dyDescent="0.2">
      <c r="A15" s="258">
        <v>5</v>
      </c>
      <c r="B15" s="361" t="s">
        <v>894</v>
      </c>
      <c r="C15" s="355">
        <v>0</v>
      </c>
      <c r="D15" s="355">
        <v>0</v>
      </c>
      <c r="E15" s="355">
        <v>0</v>
      </c>
      <c r="F15" s="355">
        <v>0</v>
      </c>
      <c r="G15" s="355">
        <f t="shared" si="0"/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f t="shared" si="1"/>
        <v>0</v>
      </c>
      <c r="M15" s="27">
        <v>0</v>
      </c>
      <c r="N15" s="27">
        <v>0</v>
      </c>
    </row>
    <row r="16" spans="1:19" s="14" customFormat="1" x14ac:dyDescent="0.2">
      <c r="A16" s="258">
        <v>6</v>
      </c>
      <c r="B16" s="361" t="s">
        <v>895</v>
      </c>
      <c r="C16" s="355">
        <v>0</v>
      </c>
      <c r="D16" s="355">
        <v>0</v>
      </c>
      <c r="E16" s="355">
        <v>0</v>
      </c>
      <c r="F16" s="355">
        <v>0</v>
      </c>
      <c r="G16" s="355">
        <f t="shared" si="0"/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f t="shared" si="1"/>
        <v>0</v>
      </c>
      <c r="M16" s="27">
        <v>0</v>
      </c>
      <c r="N16" s="27">
        <v>0</v>
      </c>
    </row>
    <row r="17" spans="1:14" s="14" customFormat="1" x14ac:dyDescent="0.2">
      <c r="A17" s="258">
        <v>7</v>
      </c>
      <c r="B17" s="361" t="s">
        <v>896</v>
      </c>
      <c r="C17" s="355">
        <v>0</v>
      </c>
      <c r="D17" s="355">
        <v>0</v>
      </c>
      <c r="E17" s="355">
        <v>0</v>
      </c>
      <c r="F17" s="355">
        <v>0</v>
      </c>
      <c r="G17" s="355">
        <f t="shared" si="0"/>
        <v>0</v>
      </c>
      <c r="H17" s="355">
        <v>0</v>
      </c>
      <c r="I17" s="355">
        <v>0</v>
      </c>
      <c r="J17" s="355">
        <v>0</v>
      </c>
      <c r="K17" s="355">
        <v>0</v>
      </c>
      <c r="L17" s="355">
        <f t="shared" si="1"/>
        <v>0</v>
      </c>
      <c r="M17" s="27">
        <v>0</v>
      </c>
      <c r="N17" s="27">
        <v>0</v>
      </c>
    </row>
    <row r="18" spans="1:14" s="14" customFormat="1" x14ac:dyDescent="0.2">
      <c r="A18" s="258">
        <v>8</v>
      </c>
      <c r="B18" s="361" t="s">
        <v>897</v>
      </c>
      <c r="C18" s="355">
        <v>0</v>
      </c>
      <c r="D18" s="355">
        <v>0</v>
      </c>
      <c r="E18" s="355">
        <v>0</v>
      </c>
      <c r="F18" s="355">
        <v>0</v>
      </c>
      <c r="G18" s="355">
        <f t="shared" si="0"/>
        <v>0</v>
      </c>
      <c r="H18" s="355">
        <v>0</v>
      </c>
      <c r="I18" s="355">
        <v>0</v>
      </c>
      <c r="J18" s="355">
        <v>0</v>
      </c>
      <c r="K18" s="355">
        <v>0</v>
      </c>
      <c r="L18" s="355">
        <f t="shared" si="1"/>
        <v>0</v>
      </c>
      <c r="M18" s="27">
        <v>0</v>
      </c>
      <c r="N18" s="27">
        <v>0</v>
      </c>
    </row>
    <row r="19" spans="1:14" s="14" customFormat="1" x14ac:dyDescent="0.2">
      <c r="A19" s="258">
        <v>9</v>
      </c>
      <c r="B19" s="361" t="s">
        <v>898</v>
      </c>
      <c r="C19" s="355">
        <v>0</v>
      </c>
      <c r="D19" s="355">
        <v>0</v>
      </c>
      <c r="E19" s="355">
        <v>0</v>
      </c>
      <c r="F19" s="355">
        <v>0</v>
      </c>
      <c r="G19" s="355">
        <f t="shared" si="0"/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f t="shared" si="1"/>
        <v>0</v>
      </c>
      <c r="M19" s="27">
        <v>0</v>
      </c>
      <c r="N19" s="27">
        <v>0</v>
      </c>
    </row>
    <row r="20" spans="1:14" s="14" customFormat="1" x14ac:dyDescent="0.2">
      <c r="A20" s="258">
        <v>10</v>
      </c>
      <c r="B20" s="361" t="s">
        <v>899</v>
      </c>
      <c r="C20" s="355">
        <v>0</v>
      </c>
      <c r="D20" s="355">
        <v>0</v>
      </c>
      <c r="E20" s="355">
        <v>0</v>
      </c>
      <c r="F20" s="355">
        <v>0</v>
      </c>
      <c r="G20" s="355">
        <f t="shared" si="0"/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f t="shared" si="1"/>
        <v>0</v>
      </c>
      <c r="M20" s="27">
        <v>0</v>
      </c>
      <c r="N20" s="27">
        <v>0</v>
      </c>
    </row>
    <row r="21" spans="1:14" s="14" customFormat="1" x14ac:dyDescent="0.2">
      <c r="A21" s="258">
        <v>11</v>
      </c>
      <c r="B21" s="361" t="s">
        <v>900</v>
      </c>
      <c r="C21" s="355">
        <v>0</v>
      </c>
      <c r="D21" s="355">
        <v>0</v>
      </c>
      <c r="E21" s="355">
        <v>0</v>
      </c>
      <c r="F21" s="355">
        <v>0</v>
      </c>
      <c r="G21" s="355">
        <f t="shared" si="0"/>
        <v>0</v>
      </c>
      <c r="H21" s="355">
        <v>0</v>
      </c>
      <c r="I21" s="355">
        <v>0</v>
      </c>
      <c r="J21" s="355">
        <v>0</v>
      </c>
      <c r="K21" s="355">
        <v>0</v>
      </c>
      <c r="L21" s="355">
        <f t="shared" si="1"/>
        <v>0</v>
      </c>
      <c r="M21" s="27">
        <v>0</v>
      </c>
      <c r="N21" s="27">
        <v>0</v>
      </c>
    </row>
    <row r="22" spans="1:14" s="14" customFormat="1" x14ac:dyDescent="0.2">
      <c r="A22" s="258">
        <v>12</v>
      </c>
      <c r="B22" s="361" t="s">
        <v>901</v>
      </c>
      <c r="C22" s="355">
        <v>0</v>
      </c>
      <c r="D22" s="355">
        <v>0</v>
      </c>
      <c r="E22" s="355">
        <v>0</v>
      </c>
      <c r="F22" s="355">
        <v>0</v>
      </c>
      <c r="G22" s="355">
        <f t="shared" si="0"/>
        <v>0</v>
      </c>
      <c r="H22" s="355">
        <v>0</v>
      </c>
      <c r="I22" s="355">
        <v>0</v>
      </c>
      <c r="J22" s="355">
        <v>0</v>
      </c>
      <c r="K22" s="355">
        <v>0</v>
      </c>
      <c r="L22" s="355">
        <f t="shared" si="1"/>
        <v>0</v>
      </c>
      <c r="M22" s="27">
        <v>0</v>
      </c>
      <c r="N22" s="27">
        <v>0</v>
      </c>
    </row>
    <row r="23" spans="1:14" x14ac:dyDescent="0.2">
      <c r="A23" s="258">
        <v>13</v>
      </c>
      <c r="B23" s="361" t="s">
        <v>902</v>
      </c>
      <c r="C23" s="355">
        <v>0</v>
      </c>
      <c r="D23" s="355">
        <v>0</v>
      </c>
      <c r="E23" s="355">
        <v>0</v>
      </c>
      <c r="F23" s="355">
        <v>0</v>
      </c>
      <c r="G23" s="355">
        <f t="shared" si="0"/>
        <v>0</v>
      </c>
      <c r="H23" s="355">
        <v>0</v>
      </c>
      <c r="I23" s="355">
        <v>0</v>
      </c>
      <c r="J23" s="355">
        <v>0</v>
      </c>
      <c r="K23" s="355">
        <v>0</v>
      </c>
      <c r="L23" s="355">
        <f t="shared" si="1"/>
        <v>0</v>
      </c>
      <c r="M23" s="27">
        <v>0</v>
      </c>
      <c r="N23" s="27">
        <v>0</v>
      </c>
    </row>
    <row r="24" spans="1:14" x14ac:dyDescent="0.2">
      <c r="A24" s="258">
        <v>14</v>
      </c>
      <c r="B24" s="361" t="s">
        <v>903</v>
      </c>
      <c r="C24" s="355">
        <v>0</v>
      </c>
      <c r="D24" s="355">
        <v>0</v>
      </c>
      <c r="E24" s="355">
        <v>0</v>
      </c>
      <c r="F24" s="355">
        <v>0</v>
      </c>
      <c r="G24" s="355">
        <f t="shared" si="0"/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f t="shared" si="1"/>
        <v>0</v>
      </c>
      <c r="M24" s="27">
        <v>0</v>
      </c>
      <c r="N24" s="27">
        <v>0</v>
      </c>
    </row>
    <row r="25" spans="1:14" x14ac:dyDescent="0.2">
      <c r="A25" s="258">
        <v>15</v>
      </c>
      <c r="B25" s="361" t="s">
        <v>904</v>
      </c>
      <c r="C25" s="355">
        <v>0</v>
      </c>
      <c r="D25" s="355">
        <v>0</v>
      </c>
      <c r="E25" s="355">
        <v>0</v>
      </c>
      <c r="F25" s="355">
        <v>0</v>
      </c>
      <c r="G25" s="355">
        <f t="shared" si="0"/>
        <v>0</v>
      </c>
      <c r="H25" s="355">
        <v>0</v>
      </c>
      <c r="I25" s="355">
        <v>0</v>
      </c>
      <c r="J25" s="355">
        <v>0</v>
      </c>
      <c r="K25" s="355">
        <v>0</v>
      </c>
      <c r="L25" s="355">
        <f t="shared" si="1"/>
        <v>0</v>
      </c>
      <c r="M25" s="27">
        <v>0</v>
      </c>
      <c r="N25" s="27">
        <v>0</v>
      </c>
    </row>
    <row r="26" spans="1:14" x14ac:dyDescent="0.2">
      <c r="A26" s="258">
        <v>16</v>
      </c>
      <c r="B26" s="361" t="s">
        <v>905</v>
      </c>
      <c r="C26" s="355">
        <v>0</v>
      </c>
      <c r="D26" s="355">
        <v>0</v>
      </c>
      <c r="E26" s="355">
        <v>0</v>
      </c>
      <c r="F26" s="355">
        <v>0</v>
      </c>
      <c r="G26" s="355">
        <f t="shared" si="0"/>
        <v>0</v>
      </c>
      <c r="H26" s="355">
        <v>0</v>
      </c>
      <c r="I26" s="355">
        <v>0</v>
      </c>
      <c r="J26" s="355">
        <v>0</v>
      </c>
      <c r="K26" s="355">
        <v>0</v>
      </c>
      <c r="L26" s="355">
        <f t="shared" si="1"/>
        <v>0</v>
      </c>
      <c r="M26" s="27">
        <v>0</v>
      </c>
      <c r="N26" s="27">
        <v>0</v>
      </c>
    </row>
    <row r="27" spans="1:14" x14ac:dyDescent="0.2">
      <c r="A27" s="258">
        <v>17</v>
      </c>
      <c r="B27" s="361" t="s">
        <v>906</v>
      </c>
      <c r="C27" s="355">
        <v>0</v>
      </c>
      <c r="D27" s="355">
        <v>0</v>
      </c>
      <c r="E27" s="355">
        <v>0</v>
      </c>
      <c r="F27" s="355">
        <v>0</v>
      </c>
      <c r="G27" s="355">
        <f t="shared" si="0"/>
        <v>0</v>
      </c>
      <c r="H27" s="355">
        <v>0</v>
      </c>
      <c r="I27" s="355">
        <v>0</v>
      </c>
      <c r="J27" s="355">
        <v>0</v>
      </c>
      <c r="K27" s="355">
        <v>0</v>
      </c>
      <c r="L27" s="355">
        <f t="shared" si="1"/>
        <v>0</v>
      </c>
      <c r="M27" s="27">
        <v>0</v>
      </c>
      <c r="N27" s="27">
        <v>0</v>
      </c>
    </row>
    <row r="28" spans="1:14" x14ac:dyDescent="0.2">
      <c r="A28" s="258">
        <v>18</v>
      </c>
      <c r="B28" s="361" t="s">
        <v>907</v>
      </c>
      <c r="C28" s="355">
        <v>0</v>
      </c>
      <c r="D28" s="355">
        <v>0</v>
      </c>
      <c r="E28" s="355">
        <v>0</v>
      </c>
      <c r="F28" s="355">
        <v>0</v>
      </c>
      <c r="G28" s="355">
        <f t="shared" si="0"/>
        <v>0</v>
      </c>
      <c r="H28" s="355">
        <v>0</v>
      </c>
      <c r="I28" s="355">
        <v>0</v>
      </c>
      <c r="J28" s="355">
        <v>0</v>
      </c>
      <c r="K28" s="355">
        <v>0</v>
      </c>
      <c r="L28" s="355">
        <f t="shared" si="1"/>
        <v>0</v>
      </c>
      <c r="M28" s="27">
        <v>0</v>
      </c>
      <c r="N28" s="27">
        <v>0</v>
      </c>
    </row>
    <row r="29" spans="1:14" x14ac:dyDescent="0.2">
      <c r="A29" s="258">
        <v>19</v>
      </c>
      <c r="B29" s="361" t="s">
        <v>908</v>
      </c>
      <c r="C29" s="355">
        <v>0</v>
      </c>
      <c r="D29" s="355">
        <v>0</v>
      </c>
      <c r="E29" s="355">
        <v>0</v>
      </c>
      <c r="F29" s="355">
        <v>0</v>
      </c>
      <c r="G29" s="355">
        <f t="shared" si="0"/>
        <v>0</v>
      </c>
      <c r="H29" s="355">
        <v>0</v>
      </c>
      <c r="I29" s="355">
        <v>0</v>
      </c>
      <c r="J29" s="355">
        <v>0</v>
      </c>
      <c r="K29" s="355">
        <v>0</v>
      </c>
      <c r="L29" s="355">
        <f t="shared" si="1"/>
        <v>0</v>
      </c>
      <c r="M29" s="27">
        <v>0</v>
      </c>
      <c r="N29" s="27">
        <v>0</v>
      </c>
    </row>
    <row r="30" spans="1:14" x14ac:dyDescent="0.2">
      <c r="A30" s="258">
        <v>20</v>
      </c>
      <c r="B30" s="361" t="s">
        <v>909</v>
      </c>
      <c r="C30" s="355">
        <v>0</v>
      </c>
      <c r="D30" s="355">
        <v>0</v>
      </c>
      <c r="E30" s="355">
        <v>0</v>
      </c>
      <c r="F30" s="355">
        <v>0</v>
      </c>
      <c r="G30" s="355">
        <f t="shared" si="0"/>
        <v>0</v>
      </c>
      <c r="H30" s="355">
        <v>0</v>
      </c>
      <c r="I30" s="355">
        <v>0</v>
      </c>
      <c r="J30" s="355">
        <v>0</v>
      </c>
      <c r="K30" s="355">
        <v>0</v>
      </c>
      <c r="L30" s="355">
        <f t="shared" si="1"/>
        <v>0</v>
      </c>
      <c r="M30" s="27">
        <v>0</v>
      </c>
      <c r="N30" s="27">
        <v>0</v>
      </c>
    </row>
    <row r="31" spans="1:14" x14ac:dyDescent="0.2">
      <c r="A31" s="258">
        <v>21</v>
      </c>
      <c r="B31" s="361" t="s">
        <v>910</v>
      </c>
      <c r="C31" s="355">
        <v>0</v>
      </c>
      <c r="D31" s="355">
        <v>0</v>
      </c>
      <c r="E31" s="355">
        <v>0</v>
      </c>
      <c r="F31" s="355">
        <v>0</v>
      </c>
      <c r="G31" s="355">
        <f t="shared" si="0"/>
        <v>0</v>
      </c>
      <c r="H31" s="355">
        <v>0</v>
      </c>
      <c r="I31" s="355">
        <v>0</v>
      </c>
      <c r="J31" s="355">
        <v>0</v>
      </c>
      <c r="K31" s="355">
        <v>0</v>
      </c>
      <c r="L31" s="355">
        <f t="shared" si="1"/>
        <v>0</v>
      </c>
      <c r="M31" s="27">
        <v>0</v>
      </c>
      <c r="N31" s="27">
        <v>0</v>
      </c>
    </row>
    <row r="32" spans="1:14" x14ac:dyDescent="0.2">
      <c r="A32" s="258">
        <v>22</v>
      </c>
      <c r="B32" s="361" t="s">
        <v>911</v>
      </c>
      <c r="C32" s="355">
        <v>0</v>
      </c>
      <c r="D32" s="355">
        <v>0</v>
      </c>
      <c r="E32" s="355">
        <v>0</v>
      </c>
      <c r="F32" s="355">
        <v>0</v>
      </c>
      <c r="G32" s="355">
        <f t="shared" si="0"/>
        <v>0</v>
      </c>
      <c r="H32" s="355">
        <v>0</v>
      </c>
      <c r="I32" s="355">
        <v>0</v>
      </c>
      <c r="J32" s="355">
        <v>0</v>
      </c>
      <c r="K32" s="355">
        <v>0</v>
      </c>
      <c r="L32" s="355">
        <f t="shared" si="1"/>
        <v>0</v>
      </c>
      <c r="M32" s="27">
        <v>0</v>
      </c>
      <c r="N32" s="27">
        <v>0</v>
      </c>
    </row>
    <row r="33" spans="1:14" x14ac:dyDescent="0.2">
      <c r="A33" s="258">
        <v>23</v>
      </c>
      <c r="B33" s="361" t="s">
        <v>912</v>
      </c>
      <c r="C33" s="355">
        <v>0</v>
      </c>
      <c r="D33" s="355">
        <v>0</v>
      </c>
      <c r="E33" s="355">
        <v>0</v>
      </c>
      <c r="F33" s="355">
        <v>0</v>
      </c>
      <c r="G33" s="355">
        <f t="shared" si="0"/>
        <v>0</v>
      </c>
      <c r="H33" s="355">
        <v>0</v>
      </c>
      <c r="I33" s="355">
        <v>0</v>
      </c>
      <c r="J33" s="355">
        <v>0</v>
      </c>
      <c r="K33" s="355">
        <v>0</v>
      </c>
      <c r="L33" s="355">
        <f t="shared" si="1"/>
        <v>0</v>
      </c>
      <c r="M33" s="27">
        <v>0</v>
      </c>
      <c r="N33" s="27">
        <v>0</v>
      </c>
    </row>
    <row r="34" spans="1:14" x14ac:dyDescent="0.2">
      <c r="A34" s="258">
        <v>24</v>
      </c>
      <c r="B34" s="361" t="s">
        <v>913</v>
      </c>
      <c r="C34" s="355">
        <v>0</v>
      </c>
      <c r="D34" s="355">
        <v>0</v>
      </c>
      <c r="E34" s="355">
        <v>0</v>
      </c>
      <c r="F34" s="355">
        <v>0</v>
      </c>
      <c r="G34" s="355">
        <f t="shared" si="0"/>
        <v>0</v>
      </c>
      <c r="H34" s="355">
        <v>0</v>
      </c>
      <c r="I34" s="355">
        <v>0</v>
      </c>
      <c r="J34" s="355">
        <v>0</v>
      </c>
      <c r="K34" s="355">
        <v>0</v>
      </c>
      <c r="L34" s="355">
        <f t="shared" si="1"/>
        <v>0</v>
      </c>
      <c r="M34" s="27">
        <v>0</v>
      </c>
      <c r="N34" s="27">
        <v>0</v>
      </c>
    </row>
    <row r="35" spans="1:14" x14ac:dyDescent="0.2">
      <c r="A35" s="258">
        <v>25</v>
      </c>
      <c r="B35" s="361" t="s">
        <v>919</v>
      </c>
      <c r="C35" s="355">
        <v>0</v>
      </c>
      <c r="D35" s="355">
        <v>0</v>
      </c>
      <c r="E35" s="355">
        <v>0</v>
      </c>
      <c r="F35" s="355">
        <v>0</v>
      </c>
      <c r="G35" s="355">
        <f t="shared" si="0"/>
        <v>0</v>
      </c>
      <c r="H35" s="355">
        <v>0</v>
      </c>
      <c r="I35" s="355">
        <v>0</v>
      </c>
      <c r="J35" s="355">
        <v>0</v>
      </c>
      <c r="K35" s="355">
        <v>0</v>
      </c>
      <c r="L35" s="355">
        <f t="shared" si="1"/>
        <v>0</v>
      </c>
      <c r="M35" s="27">
        <v>0</v>
      </c>
      <c r="N35" s="27">
        <v>0</v>
      </c>
    </row>
    <row r="36" spans="1:14" x14ac:dyDescent="0.2">
      <c r="A36" s="258">
        <v>26</v>
      </c>
      <c r="B36" s="361" t="s">
        <v>914</v>
      </c>
      <c r="C36" s="355">
        <v>0</v>
      </c>
      <c r="D36" s="355">
        <v>0</v>
      </c>
      <c r="E36" s="355">
        <v>0</v>
      </c>
      <c r="F36" s="355">
        <v>0</v>
      </c>
      <c r="G36" s="355">
        <f t="shared" si="0"/>
        <v>0</v>
      </c>
      <c r="H36" s="355">
        <v>0</v>
      </c>
      <c r="I36" s="355">
        <v>0</v>
      </c>
      <c r="J36" s="355">
        <v>0</v>
      </c>
      <c r="K36" s="355">
        <v>0</v>
      </c>
      <c r="L36" s="355">
        <f t="shared" si="1"/>
        <v>0</v>
      </c>
      <c r="M36" s="27">
        <v>0</v>
      </c>
      <c r="N36" s="27">
        <v>0</v>
      </c>
    </row>
    <row r="37" spans="1:14" ht="15" x14ac:dyDescent="0.2">
      <c r="A37" s="258">
        <v>27</v>
      </c>
      <c r="B37" s="362" t="s">
        <v>915</v>
      </c>
      <c r="C37" s="355">
        <v>0</v>
      </c>
      <c r="D37" s="355">
        <v>0</v>
      </c>
      <c r="E37" s="355">
        <v>0</v>
      </c>
      <c r="F37" s="355">
        <v>0</v>
      </c>
      <c r="G37" s="355">
        <f t="shared" si="0"/>
        <v>0</v>
      </c>
      <c r="H37" s="355">
        <v>0</v>
      </c>
      <c r="I37" s="355">
        <v>0</v>
      </c>
      <c r="J37" s="355">
        <v>0</v>
      </c>
      <c r="K37" s="355">
        <v>0</v>
      </c>
      <c r="L37" s="355">
        <f t="shared" si="1"/>
        <v>0</v>
      </c>
      <c r="M37" s="27">
        <v>0</v>
      </c>
      <c r="N37" s="27">
        <v>0</v>
      </c>
    </row>
    <row r="38" spans="1:14" x14ac:dyDescent="0.2">
      <c r="A38" s="3" t="s">
        <v>18</v>
      </c>
      <c r="B38" s="9"/>
      <c r="C38" s="356">
        <v>0</v>
      </c>
      <c r="D38" s="356">
        <v>0</v>
      </c>
      <c r="E38" s="356">
        <v>0</v>
      </c>
      <c r="F38" s="356">
        <v>0</v>
      </c>
      <c r="G38" s="359">
        <v>0</v>
      </c>
      <c r="H38" s="356">
        <v>0</v>
      </c>
      <c r="I38" s="356">
        <v>0</v>
      </c>
      <c r="J38" s="356">
        <v>0</v>
      </c>
      <c r="K38" s="356">
        <v>0</v>
      </c>
      <c r="L38" s="359">
        <v>0</v>
      </c>
      <c r="M38" s="27">
        <v>0</v>
      </c>
      <c r="N38" s="27">
        <v>0</v>
      </c>
    </row>
    <row r="39" spans="1:14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">
      <c r="A40" s="10" t="s">
        <v>8</v>
      </c>
    </row>
    <row r="41" spans="1:14" x14ac:dyDescent="0.2">
      <c r="A41" t="s">
        <v>9</v>
      </c>
    </row>
    <row r="42" spans="1:14" x14ac:dyDescent="0.2">
      <c r="A42" t="s">
        <v>10</v>
      </c>
      <c r="K42" s="11" t="s">
        <v>11</v>
      </c>
      <c r="L42" s="11" t="s">
        <v>11</v>
      </c>
      <c r="M42" s="11"/>
      <c r="N42" s="11" t="s">
        <v>11</v>
      </c>
    </row>
    <row r="43" spans="1:14" x14ac:dyDescent="0.2">
      <c r="A43" s="15" t="s">
        <v>426</v>
      </c>
      <c r="J43" s="11"/>
      <c r="K43" s="11"/>
      <c r="L43" s="11"/>
    </row>
    <row r="44" spans="1:14" x14ac:dyDescent="0.2">
      <c r="C44" s="15" t="s">
        <v>427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4" x14ac:dyDescent="0.2"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.75" customHeight="1" x14ac:dyDescent="0.25">
      <c r="A47" s="13"/>
      <c r="B47" s="13"/>
      <c r="C47" s="13"/>
      <c r="D47" s="13"/>
      <c r="E47" s="13"/>
      <c r="F47" s="13"/>
      <c r="G47" s="13"/>
      <c r="H47" s="13"/>
      <c r="I47" s="488"/>
      <c r="J47" s="488"/>
      <c r="K47" s="14"/>
      <c r="L47" s="567"/>
      <c r="M47" s="567"/>
      <c r="N47" s="567"/>
    </row>
    <row r="48" spans="1:14" ht="15.75" customHeight="1" x14ac:dyDescent="0.2">
      <c r="A48" s="567"/>
      <c r="B48" s="567"/>
      <c r="C48" s="567"/>
      <c r="D48" s="567"/>
      <c r="E48" s="567"/>
      <c r="F48" s="567"/>
      <c r="G48" s="567"/>
      <c r="H48" s="14"/>
      <c r="I48" s="810" t="s">
        <v>13</v>
      </c>
      <c r="J48" s="810"/>
      <c r="K48" s="810"/>
      <c r="L48" s="810"/>
      <c r="M48" s="810"/>
      <c r="N48" s="563"/>
    </row>
    <row r="49" spans="1:14" ht="15.75" customHeight="1" x14ac:dyDescent="0.2">
      <c r="A49" s="567"/>
      <c r="B49" s="567"/>
      <c r="C49" s="567"/>
      <c r="D49" s="567"/>
      <c r="E49" s="567"/>
      <c r="F49" s="567"/>
      <c r="G49" s="567"/>
      <c r="H49" s="563"/>
      <c r="I49" s="810" t="s">
        <v>14</v>
      </c>
      <c r="J49" s="810"/>
      <c r="K49" s="810"/>
      <c r="L49" s="810"/>
      <c r="M49" s="810"/>
      <c r="N49" s="563"/>
    </row>
    <row r="50" spans="1:14" ht="12.75" customHeight="1" x14ac:dyDescent="0.25">
      <c r="A50" s="492" t="s">
        <v>12</v>
      </c>
      <c r="B50" s="488"/>
      <c r="C50" s="488"/>
      <c r="D50" s="488"/>
      <c r="E50" s="488"/>
      <c r="F50" s="488"/>
      <c r="G50" s="488"/>
      <c r="H50" s="810" t="s">
        <v>918</v>
      </c>
      <c r="I50" s="810"/>
      <c r="J50" s="810"/>
      <c r="K50" s="810"/>
      <c r="L50" s="810"/>
      <c r="M50" s="810"/>
      <c r="N50" s="810"/>
    </row>
    <row r="51" spans="1:14" x14ac:dyDescent="0.2">
      <c r="A51" s="637"/>
      <c r="B51" s="637"/>
      <c r="C51" s="637"/>
      <c r="D51" s="637"/>
      <c r="E51" s="637"/>
      <c r="F51" s="637"/>
      <c r="G51" s="637"/>
      <c r="H51" s="811" t="s">
        <v>82</v>
      </c>
      <c r="I51" s="811"/>
      <c r="J51" s="811"/>
      <c r="K51" s="811"/>
      <c r="L51" s="811"/>
      <c r="M51" s="811"/>
      <c r="N51" s="811"/>
    </row>
  </sheetData>
  <mergeCells count="15">
    <mergeCell ref="I48:M48"/>
    <mergeCell ref="I49:M49"/>
    <mergeCell ref="H50:N50"/>
    <mergeCell ref="H51:N51"/>
    <mergeCell ref="D1:J1"/>
    <mergeCell ref="A2:N2"/>
    <mergeCell ref="A3:N3"/>
    <mergeCell ref="A5:N5"/>
    <mergeCell ref="L7:N7"/>
    <mergeCell ref="N8:N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R50"/>
  <sheetViews>
    <sheetView topLeftCell="B1" zoomScaleSheetLayoutView="80" workbookViewId="0">
      <selection activeCell="H20" sqref="H20"/>
    </sheetView>
  </sheetViews>
  <sheetFormatPr defaultRowHeight="12.75" x14ac:dyDescent="0.2"/>
  <cols>
    <col min="1" max="1" width="7.140625" style="15" customWidth="1"/>
    <col min="2" max="2" width="20.42578125" style="15" customWidth="1"/>
    <col min="3" max="3" width="10.28515625" style="15" customWidth="1"/>
    <col min="4" max="4" width="9.28515625" style="15" customWidth="1"/>
    <col min="5" max="6" width="9.140625" style="15" customWidth="1"/>
    <col min="7" max="7" width="11.7109375" style="15" customWidth="1"/>
    <col min="8" max="8" width="11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0.7109375" style="15" customWidth="1"/>
    <col min="13" max="13" width="10.5703125" style="15" customWidth="1"/>
    <col min="14" max="14" width="8.7109375" style="15" customWidth="1"/>
    <col min="15" max="15" width="8.85546875" style="15" customWidth="1"/>
    <col min="16" max="16" width="9.140625" style="15"/>
    <col min="17" max="17" width="11" style="15" customWidth="1"/>
    <col min="18" max="18" width="9.140625" style="15" customWidth="1"/>
    <col min="19" max="16384" width="9.140625" style="15"/>
  </cols>
  <sheetData>
    <row r="1" spans="1:18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64" t="s">
        <v>58</v>
      </c>
      <c r="P1" s="864"/>
      <c r="Q1" s="864"/>
    </row>
    <row r="2" spans="1:18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5"/>
      <c r="N2" s="45"/>
      <c r="O2" s="45"/>
      <c r="P2" s="45"/>
    </row>
    <row r="3" spans="1:18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44"/>
      <c r="N3" s="44"/>
      <c r="O3" s="44"/>
      <c r="P3" s="44"/>
    </row>
    <row r="4" spans="1:18" customFormat="1" ht="11.25" customHeight="1" x14ac:dyDescent="0.2"/>
    <row r="5" spans="1:18" customFormat="1" ht="15.75" customHeight="1" x14ac:dyDescent="0.25">
      <c r="A5" s="933" t="s">
        <v>794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15"/>
    </row>
    <row r="7" spans="1:18" ht="17.45" customHeight="1" x14ac:dyDescent="0.3">
      <c r="A7" s="197" t="s">
        <v>917</v>
      </c>
      <c r="B7" s="197" t="s">
        <v>916</v>
      </c>
      <c r="N7" s="925" t="s">
        <v>1186</v>
      </c>
      <c r="O7" s="925"/>
      <c r="P7" s="925"/>
      <c r="Q7" s="925"/>
    </row>
    <row r="8" spans="1:18" ht="24" customHeight="1" x14ac:dyDescent="0.2">
      <c r="A8" s="824" t="s">
        <v>2</v>
      </c>
      <c r="B8" s="824" t="s">
        <v>3</v>
      </c>
      <c r="C8" s="862" t="s">
        <v>757</v>
      </c>
      <c r="D8" s="862"/>
      <c r="E8" s="862"/>
      <c r="F8" s="862"/>
      <c r="G8" s="862"/>
      <c r="H8" s="934" t="s">
        <v>629</v>
      </c>
      <c r="I8" s="862"/>
      <c r="J8" s="862"/>
      <c r="K8" s="862"/>
      <c r="L8" s="862"/>
      <c r="M8" s="935" t="s">
        <v>108</v>
      </c>
      <c r="N8" s="936"/>
      <c r="O8" s="936"/>
      <c r="P8" s="936"/>
      <c r="Q8" s="937"/>
    </row>
    <row r="9" spans="1:18" s="14" customFormat="1" ht="60" customHeight="1" x14ac:dyDescent="0.2">
      <c r="A9" s="824"/>
      <c r="B9" s="824"/>
      <c r="C9" s="5" t="s">
        <v>209</v>
      </c>
      <c r="D9" s="5" t="s">
        <v>210</v>
      </c>
      <c r="E9" s="5" t="s">
        <v>354</v>
      </c>
      <c r="F9" s="5" t="s">
        <v>216</v>
      </c>
      <c r="G9" s="5" t="s">
        <v>113</v>
      </c>
      <c r="H9" s="99" t="s">
        <v>209</v>
      </c>
      <c r="I9" s="5" t="s">
        <v>210</v>
      </c>
      <c r="J9" s="5" t="s">
        <v>354</v>
      </c>
      <c r="K9" s="7" t="s">
        <v>216</v>
      </c>
      <c r="L9" s="5" t="s">
        <v>357</v>
      </c>
      <c r="M9" s="5" t="s">
        <v>209</v>
      </c>
      <c r="N9" s="5" t="s">
        <v>210</v>
      </c>
      <c r="O9" s="5" t="s">
        <v>354</v>
      </c>
      <c r="P9" s="7" t="s">
        <v>216</v>
      </c>
      <c r="Q9" s="5" t="s">
        <v>115</v>
      </c>
      <c r="R9" s="31"/>
    </row>
    <row r="10" spans="1:18" s="66" customFormat="1" x14ac:dyDescent="0.2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</row>
    <row r="11" spans="1:18" s="66" customFormat="1" x14ac:dyDescent="0.2">
      <c r="A11" s="258">
        <v>1</v>
      </c>
      <c r="B11" s="361" t="s">
        <v>890</v>
      </c>
      <c r="C11" s="363">
        <v>48381</v>
      </c>
      <c r="D11" s="363">
        <v>359</v>
      </c>
      <c r="E11" s="65">
        <v>0</v>
      </c>
      <c r="F11" s="363">
        <v>84</v>
      </c>
      <c r="G11" s="363">
        <f>SUM(C11:F11)</f>
        <v>48824</v>
      </c>
      <c r="H11" s="365">
        <v>47005</v>
      </c>
      <c r="I11" s="363">
        <v>329</v>
      </c>
      <c r="J11" s="363">
        <v>0</v>
      </c>
      <c r="K11" s="363">
        <v>83</v>
      </c>
      <c r="L11" s="363">
        <f>SUM(H11:K11)</f>
        <v>47417</v>
      </c>
      <c r="M11" s="364">
        <v>10529089</v>
      </c>
      <c r="N11" s="364">
        <v>73637</v>
      </c>
      <c r="O11" s="364">
        <v>0</v>
      </c>
      <c r="P11" s="364">
        <v>18505</v>
      </c>
      <c r="Q11" s="364">
        <f>SUM(M11:P11)</f>
        <v>10621231</v>
      </c>
      <c r="R11" s="430"/>
    </row>
    <row r="12" spans="1:18" s="66" customFormat="1" x14ac:dyDescent="0.2">
      <c r="A12" s="258">
        <v>2</v>
      </c>
      <c r="B12" s="361" t="s">
        <v>891</v>
      </c>
      <c r="C12" s="363">
        <v>113339</v>
      </c>
      <c r="D12" s="363">
        <v>347</v>
      </c>
      <c r="E12" s="65">
        <v>0</v>
      </c>
      <c r="F12" s="363">
        <v>0</v>
      </c>
      <c r="G12" s="363">
        <f t="shared" ref="G12:G37" si="0">SUM(C12:F12)</f>
        <v>113686</v>
      </c>
      <c r="H12" s="365">
        <v>93477</v>
      </c>
      <c r="I12" s="363">
        <v>299</v>
      </c>
      <c r="J12" s="363">
        <v>0</v>
      </c>
      <c r="K12" s="363">
        <v>0</v>
      </c>
      <c r="L12" s="363">
        <f t="shared" ref="L12:L37" si="1">SUM(H12:K12)</f>
        <v>93776</v>
      </c>
      <c r="M12" s="364">
        <v>20845311</v>
      </c>
      <c r="N12" s="364">
        <v>66676</v>
      </c>
      <c r="O12" s="364">
        <v>0</v>
      </c>
      <c r="P12" s="364">
        <v>0</v>
      </c>
      <c r="Q12" s="364">
        <f t="shared" ref="Q12:Q37" si="2">SUM(M12:P12)</f>
        <v>20911987</v>
      </c>
      <c r="R12" s="430"/>
    </row>
    <row r="13" spans="1:18" s="66" customFormat="1" x14ac:dyDescent="0.2">
      <c r="A13" s="258">
        <v>3</v>
      </c>
      <c r="B13" s="361" t="s">
        <v>892</v>
      </c>
      <c r="C13" s="363">
        <v>69049</v>
      </c>
      <c r="D13" s="363">
        <v>2012</v>
      </c>
      <c r="E13" s="65">
        <v>0</v>
      </c>
      <c r="F13" s="363">
        <v>1672</v>
      </c>
      <c r="G13" s="363">
        <f t="shared" si="0"/>
        <v>72733</v>
      </c>
      <c r="H13" s="365">
        <v>58732</v>
      </c>
      <c r="I13" s="363">
        <v>1880</v>
      </c>
      <c r="J13" s="363">
        <v>0</v>
      </c>
      <c r="K13" s="363">
        <v>1337</v>
      </c>
      <c r="L13" s="363">
        <f t="shared" si="1"/>
        <v>61949</v>
      </c>
      <c r="M13" s="364">
        <v>12921149</v>
      </c>
      <c r="N13" s="364">
        <v>413541</v>
      </c>
      <c r="O13" s="364">
        <v>0</v>
      </c>
      <c r="P13" s="364">
        <v>294160</v>
      </c>
      <c r="Q13" s="364">
        <f t="shared" si="2"/>
        <v>13628850</v>
      </c>
      <c r="R13" s="430"/>
    </row>
    <row r="14" spans="1:18" s="66" customFormat="1" x14ac:dyDescent="0.2">
      <c r="A14" s="258">
        <v>4</v>
      </c>
      <c r="B14" s="361" t="s">
        <v>893</v>
      </c>
      <c r="C14" s="363">
        <v>67640</v>
      </c>
      <c r="D14" s="363">
        <v>1529</v>
      </c>
      <c r="E14" s="65">
        <v>0</v>
      </c>
      <c r="F14" s="363">
        <v>316</v>
      </c>
      <c r="G14" s="363">
        <f t="shared" si="0"/>
        <v>69485</v>
      </c>
      <c r="H14" s="365">
        <v>57213</v>
      </c>
      <c r="I14" s="363">
        <v>1163</v>
      </c>
      <c r="J14" s="363">
        <v>0</v>
      </c>
      <c r="K14" s="363">
        <v>250</v>
      </c>
      <c r="L14" s="363">
        <f t="shared" si="1"/>
        <v>58626</v>
      </c>
      <c r="M14" s="364">
        <v>12872837</v>
      </c>
      <c r="N14" s="364">
        <v>261576</v>
      </c>
      <c r="O14" s="364">
        <v>0</v>
      </c>
      <c r="P14" s="364">
        <v>56170</v>
      </c>
      <c r="Q14" s="364">
        <f t="shared" si="2"/>
        <v>13190583</v>
      </c>
      <c r="R14" s="430"/>
    </row>
    <row r="15" spans="1:18" s="66" customFormat="1" x14ac:dyDescent="0.2">
      <c r="A15" s="258">
        <v>5</v>
      </c>
      <c r="B15" s="361" t="s">
        <v>894</v>
      </c>
      <c r="C15" s="363">
        <v>71163</v>
      </c>
      <c r="D15" s="363">
        <v>0</v>
      </c>
      <c r="E15" s="65">
        <v>0</v>
      </c>
      <c r="F15" s="363">
        <v>51</v>
      </c>
      <c r="G15" s="363">
        <f t="shared" si="0"/>
        <v>71214</v>
      </c>
      <c r="H15" s="365">
        <v>60702</v>
      </c>
      <c r="I15" s="363">
        <v>0</v>
      </c>
      <c r="J15" s="363">
        <v>0</v>
      </c>
      <c r="K15" s="363">
        <v>44</v>
      </c>
      <c r="L15" s="363">
        <f t="shared" si="1"/>
        <v>60746</v>
      </c>
      <c r="M15" s="364">
        <v>13536531</v>
      </c>
      <c r="N15" s="364">
        <v>0</v>
      </c>
      <c r="O15" s="364">
        <v>0</v>
      </c>
      <c r="P15" s="364">
        <v>9725</v>
      </c>
      <c r="Q15" s="364">
        <f t="shared" si="2"/>
        <v>13546256</v>
      </c>
      <c r="R15" s="430"/>
    </row>
    <row r="16" spans="1:18" s="66" customFormat="1" x14ac:dyDescent="0.2">
      <c r="A16" s="258">
        <v>6</v>
      </c>
      <c r="B16" s="361" t="s">
        <v>895</v>
      </c>
      <c r="C16" s="363">
        <v>29412</v>
      </c>
      <c r="D16" s="363">
        <v>447</v>
      </c>
      <c r="E16" s="65">
        <v>0</v>
      </c>
      <c r="F16" s="363">
        <v>0</v>
      </c>
      <c r="G16" s="363">
        <f t="shared" si="0"/>
        <v>29859</v>
      </c>
      <c r="H16" s="365">
        <v>28993</v>
      </c>
      <c r="I16" s="363">
        <v>435</v>
      </c>
      <c r="J16" s="363">
        <v>0</v>
      </c>
      <c r="K16" s="363">
        <v>0</v>
      </c>
      <c r="L16" s="363">
        <f t="shared" si="1"/>
        <v>29428</v>
      </c>
      <c r="M16" s="364">
        <v>5566600</v>
      </c>
      <c r="N16" s="364">
        <v>83596</v>
      </c>
      <c r="O16" s="364">
        <v>0</v>
      </c>
      <c r="P16" s="364">
        <v>0</v>
      </c>
      <c r="Q16" s="364">
        <f t="shared" si="2"/>
        <v>5650196</v>
      </c>
      <c r="R16" s="430"/>
    </row>
    <row r="17" spans="1:18" s="66" customFormat="1" x14ac:dyDescent="0.2">
      <c r="A17" s="258">
        <v>7</v>
      </c>
      <c r="B17" s="361" t="s">
        <v>896</v>
      </c>
      <c r="C17" s="363">
        <v>142447</v>
      </c>
      <c r="D17" s="363">
        <v>3913</v>
      </c>
      <c r="E17" s="65">
        <v>0</v>
      </c>
      <c r="F17" s="363">
        <v>724</v>
      </c>
      <c r="G17" s="363">
        <f t="shared" si="0"/>
        <v>147084</v>
      </c>
      <c r="H17" s="365">
        <v>116547</v>
      </c>
      <c r="I17" s="363">
        <v>3085</v>
      </c>
      <c r="J17" s="363">
        <v>0</v>
      </c>
      <c r="K17" s="363">
        <v>468</v>
      </c>
      <c r="L17" s="363">
        <f t="shared" si="1"/>
        <v>120100</v>
      </c>
      <c r="M17" s="364">
        <v>25756936</v>
      </c>
      <c r="N17" s="364">
        <v>681800</v>
      </c>
      <c r="O17" s="364">
        <v>0</v>
      </c>
      <c r="P17" s="364">
        <v>103491</v>
      </c>
      <c r="Q17" s="364">
        <f t="shared" si="2"/>
        <v>26542227</v>
      </c>
      <c r="R17" s="430"/>
    </row>
    <row r="18" spans="1:18" s="66" customFormat="1" x14ac:dyDescent="0.2">
      <c r="A18" s="258">
        <v>8</v>
      </c>
      <c r="B18" s="361" t="s">
        <v>897</v>
      </c>
      <c r="C18" s="363">
        <v>24015</v>
      </c>
      <c r="D18" s="363">
        <v>1947</v>
      </c>
      <c r="E18" s="65">
        <v>0</v>
      </c>
      <c r="F18" s="363">
        <v>14</v>
      </c>
      <c r="G18" s="363">
        <f t="shared" si="0"/>
        <v>25976</v>
      </c>
      <c r="H18" s="365">
        <v>21487</v>
      </c>
      <c r="I18" s="363">
        <v>1939</v>
      </c>
      <c r="J18" s="363">
        <v>0</v>
      </c>
      <c r="K18" s="363">
        <v>9</v>
      </c>
      <c r="L18" s="363">
        <f t="shared" si="1"/>
        <v>23435</v>
      </c>
      <c r="M18" s="364">
        <v>4812978</v>
      </c>
      <c r="N18" s="364">
        <v>434359</v>
      </c>
      <c r="O18" s="364">
        <v>0</v>
      </c>
      <c r="P18" s="364">
        <v>2098</v>
      </c>
      <c r="Q18" s="364">
        <f t="shared" si="2"/>
        <v>5249435</v>
      </c>
      <c r="R18" s="430"/>
    </row>
    <row r="19" spans="1:18" s="66" customFormat="1" x14ac:dyDescent="0.2">
      <c r="A19" s="258">
        <v>9</v>
      </c>
      <c r="B19" s="361" t="s">
        <v>898</v>
      </c>
      <c r="C19" s="363">
        <v>45877</v>
      </c>
      <c r="D19" s="363">
        <v>151</v>
      </c>
      <c r="E19" s="65">
        <v>0</v>
      </c>
      <c r="F19" s="363">
        <v>73</v>
      </c>
      <c r="G19" s="363">
        <f t="shared" si="0"/>
        <v>46101</v>
      </c>
      <c r="H19" s="365">
        <v>43299</v>
      </c>
      <c r="I19" s="363">
        <v>118</v>
      </c>
      <c r="J19" s="363">
        <v>0</v>
      </c>
      <c r="K19" s="363">
        <v>46</v>
      </c>
      <c r="L19" s="363">
        <f t="shared" si="1"/>
        <v>43463</v>
      </c>
      <c r="M19" s="364">
        <v>9828814</v>
      </c>
      <c r="N19" s="364">
        <v>26740</v>
      </c>
      <c r="O19" s="364">
        <v>0</v>
      </c>
      <c r="P19" s="364">
        <v>10421</v>
      </c>
      <c r="Q19" s="364">
        <f t="shared" si="2"/>
        <v>9865975</v>
      </c>
      <c r="R19" s="430"/>
    </row>
    <row r="20" spans="1:18" s="66" customFormat="1" x14ac:dyDescent="0.2">
      <c r="A20" s="258">
        <v>10</v>
      </c>
      <c r="B20" s="361" t="s">
        <v>899</v>
      </c>
      <c r="C20" s="363">
        <v>61490</v>
      </c>
      <c r="D20" s="363">
        <v>1200</v>
      </c>
      <c r="E20" s="65">
        <v>0</v>
      </c>
      <c r="F20" s="363">
        <v>1160</v>
      </c>
      <c r="G20" s="363">
        <f t="shared" si="0"/>
        <v>63850</v>
      </c>
      <c r="H20" s="365">
        <v>52543</v>
      </c>
      <c r="I20" s="363">
        <v>1017</v>
      </c>
      <c r="J20" s="363">
        <v>0</v>
      </c>
      <c r="K20" s="363">
        <v>1019</v>
      </c>
      <c r="L20" s="363">
        <f t="shared" si="1"/>
        <v>54579</v>
      </c>
      <c r="M20" s="364">
        <v>11822212</v>
      </c>
      <c r="N20" s="364">
        <v>228922</v>
      </c>
      <c r="O20" s="364">
        <v>0</v>
      </c>
      <c r="P20" s="364">
        <v>229335</v>
      </c>
      <c r="Q20" s="364">
        <f t="shared" si="2"/>
        <v>12280469</v>
      </c>
      <c r="R20" s="430"/>
    </row>
    <row r="21" spans="1:18" s="66" customFormat="1" x14ac:dyDescent="0.2">
      <c r="A21" s="258">
        <v>11</v>
      </c>
      <c r="B21" s="361" t="s">
        <v>900</v>
      </c>
      <c r="C21" s="363">
        <v>49695</v>
      </c>
      <c r="D21" s="363">
        <v>244</v>
      </c>
      <c r="E21" s="65">
        <v>0</v>
      </c>
      <c r="F21" s="363">
        <v>0</v>
      </c>
      <c r="G21" s="363">
        <f t="shared" si="0"/>
        <v>49939</v>
      </c>
      <c r="H21" s="365">
        <v>46006</v>
      </c>
      <c r="I21" s="363">
        <v>233</v>
      </c>
      <c r="J21" s="363">
        <v>0</v>
      </c>
      <c r="K21" s="363">
        <v>0</v>
      </c>
      <c r="L21" s="363">
        <f t="shared" si="1"/>
        <v>46239</v>
      </c>
      <c r="M21" s="364">
        <v>10351451</v>
      </c>
      <c r="N21" s="364">
        <v>52502</v>
      </c>
      <c r="O21" s="364">
        <v>0</v>
      </c>
      <c r="P21" s="364">
        <v>0</v>
      </c>
      <c r="Q21" s="364">
        <f t="shared" si="2"/>
        <v>10403953</v>
      </c>
      <c r="R21" s="430"/>
    </row>
    <row r="22" spans="1:18" s="66" customFormat="1" x14ac:dyDescent="0.2">
      <c r="A22" s="258">
        <v>12</v>
      </c>
      <c r="B22" s="361" t="s">
        <v>901</v>
      </c>
      <c r="C22" s="363">
        <v>100982</v>
      </c>
      <c r="D22" s="363">
        <v>1801</v>
      </c>
      <c r="E22" s="65">
        <v>0</v>
      </c>
      <c r="F22" s="363">
        <v>108</v>
      </c>
      <c r="G22" s="363">
        <f t="shared" si="0"/>
        <v>102891</v>
      </c>
      <c r="H22" s="365">
        <v>87265</v>
      </c>
      <c r="I22" s="363">
        <v>804</v>
      </c>
      <c r="J22" s="363">
        <v>0</v>
      </c>
      <c r="K22" s="363">
        <v>67</v>
      </c>
      <c r="L22" s="363">
        <f t="shared" si="1"/>
        <v>88136</v>
      </c>
      <c r="M22" s="364">
        <v>19198364</v>
      </c>
      <c r="N22" s="364">
        <v>176982</v>
      </c>
      <c r="O22" s="364">
        <v>0</v>
      </c>
      <c r="P22" s="364">
        <v>14780</v>
      </c>
      <c r="Q22" s="364">
        <f t="shared" si="2"/>
        <v>19390126</v>
      </c>
      <c r="R22" s="430"/>
    </row>
    <row r="23" spans="1:18" x14ac:dyDescent="0.2">
      <c r="A23" s="258">
        <v>13</v>
      </c>
      <c r="B23" s="361" t="s">
        <v>902</v>
      </c>
      <c r="C23" s="356">
        <v>56650</v>
      </c>
      <c r="D23" s="356">
        <v>9197</v>
      </c>
      <c r="E23" s="65">
        <v>0</v>
      </c>
      <c r="F23" s="356">
        <v>613</v>
      </c>
      <c r="G23" s="363">
        <f t="shared" si="0"/>
        <v>66460</v>
      </c>
      <c r="H23" s="365">
        <v>53311</v>
      </c>
      <c r="I23" s="363">
        <v>9154</v>
      </c>
      <c r="J23" s="363">
        <v>0</v>
      </c>
      <c r="K23" s="363">
        <v>609</v>
      </c>
      <c r="L23" s="363">
        <f t="shared" si="1"/>
        <v>63074</v>
      </c>
      <c r="M23" s="364">
        <v>11515091</v>
      </c>
      <c r="N23" s="364">
        <v>1977257</v>
      </c>
      <c r="O23" s="364">
        <v>0</v>
      </c>
      <c r="P23" s="364">
        <v>131500</v>
      </c>
      <c r="Q23" s="364">
        <f t="shared" si="2"/>
        <v>13623848</v>
      </c>
      <c r="R23" s="430"/>
    </row>
    <row r="24" spans="1:18" x14ac:dyDescent="0.2">
      <c r="A24" s="258">
        <v>14</v>
      </c>
      <c r="B24" s="361" t="s">
        <v>903</v>
      </c>
      <c r="C24" s="356">
        <v>52227</v>
      </c>
      <c r="D24" s="356">
        <v>81</v>
      </c>
      <c r="E24" s="65">
        <v>0</v>
      </c>
      <c r="F24" s="356">
        <v>53</v>
      </c>
      <c r="G24" s="363">
        <f t="shared" si="0"/>
        <v>52361</v>
      </c>
      <c r="H24" s="365">
        <v>51066</v>
      </c>
      <c r="I24" s="363">
        <v>43</v>
      </c>
      <c r="J24" s="363">
        <v>0</v>
      </c>
      <c r="K24" s="363">
        <v>45</v>
      </c>
      <c r="L24" s="363">
        <f t="shared" si="1"/>
        <v>51154</v>
      </c>
      <c r="M24" s="364">
        <v>11591970</v>
      </c>
      <c r="N24" s="364">
        <v>9805</v>
      </c>
      <c r="O24" s="364">
        <v>0</v>
      </c>
      <c r="P24" s="364">
        <v>10227</v>
      </c>
      <c r="Q24" s="364">
        <f t="shared" si="2"/>
        <v>11612002</v>
      </c>
      <c r="R24" s="430"/>
    </row>
    <row r="25" spans="1:18" x14ac:dyDescent="0.2">
      <c r="A25" s="258">
        <v>15</v>
      </c>
      <c r="B25" s="361" t="s">
        <v>904</v>
      </c>
      <c r="C25" s="356">
        <v>74761</v>
      </c>
      <c r="D25" s="356">
        <v>812</v>
      </c>
      <c r="E25" s="65">
        <v>0</v>
      </c>
      <c r="F25" s="356">
        <v>56</v>
      </c>
      <c r="G25" s="363">
        <f t="shared" si="0"/>
        <v>75629</v>
      </c>
      <c r="H25" s="365">
        <v>66863</v>
      </c>
      <c r="I25" s="363">
        <v>543</v>
      </c>
      <c r="J25" s="363">
        <v>0</v>
      </c>
      <c r="K25" s="363">
        <v>56</v>
      </c>
      <c r="L25" s="363">
        <f t="shared" si="1"/>
        <v>67462</v>
      </c>
      <c r="M25" s="364">
        <v>14709808</v>
      </c>
      <c r="N25" s="364">
        <v>119535</v>
      </c>
      <c r="O25" s="364">
        <v>0</v>
      </c>
      <c r="P25" s="364">
        <v>12353</v>
      </c>
      <c r="Q25" s="364">
        <f t="shared" si="2"/>
        <v>14841696</v>
      </c>
      <c r="R25" s="430"/>
    </row>
    <row r="26" spans="1:18" x14ac:dyDescent="0.2">
      <c r="A26" s="258">
        <v>16</v>
      </c>
      <c r="B26" s="361" t="s">
        <v>905</v>
      </c>
      <c r="C26" s="356">
        <v>53331</v>
      </c>
      <c r="D26" s="356">
        <v>0</v>
      </c>
      <c r="E26" s="65">
        <v>0</v>
      </c>
      <c r="F26" s="356">
        <v>123</v>
      </c>
      <c r="G26" s="363">
        <f t="shared" si="0"/>
        <v>53454</v>
      </c>
      <c r="H26" s="365">
        <v>48343</v>
      </c>
      <c r="I26" s="363">
        <v>0</v>
      </c>
      <c r="J26" s="363">
        <v>0</v>
      </c>
      <c r="K26" s="363">
        <v>78</v>
      </c>
      <c r="L26" s="363">
        <f t="shared" si="1"/>
        <v>48421</v>
      </c>
      <c r="M26" s="364">
        <v>10877233</v>
      </c>
      <c r="N26" s="364">
        <v>0</v>
      </c>
      <c r="O26" s="364">
        <v>0</v>
      </c>
      <c r="P26" s="364">
        <v>17509</v>
      </c>
      <c r="Q26" s="364">
        <f t="shared" si="2"/>
        <v>10894742</v>
      </c>
      <c r="R26" s="430"/>
    </row>
    <row r="27" spans="1:18" x14ac:dyDescent="0.2">
      <c r="A27" s="258">
        <v>17</v>
      </c>
      <c r="B27" s="361" t="s">
        <v>906</v>
      </c>
      <c r="C27" s="356">
        <v>74300</v>
      </c>
      <c r="D27" s="356">
        <v>542</v>
      </c>
      <c r="E27" s="65">
        <v>0</v>
      </c>
      <c r="F27" s="356">
        <v>139</v>
      </c>
      <c r="G27" s="363">
        <f t="shared" si="0"/>
        <v>74981</v>
      </c>
      <c r="H27" s="365">
        <v>65867</v>
      </c>
      <c r="I27" s="363">
        <v>301</v>
      </c>
      <c r="J27" s="363">
        <v>0</v>
      </c>
      <c r="K27" s="363">
        <v>109</v>
      </c>
      <c r="L27" s="363">
        <f t="shared" si="1"/>
        <v>66277</v>
      </c>
      <c r="M27" s="364">
        <v>14754182</v>
      </c>
      <c r="N27" s="364">
        <v>67339</v>
      </c>
      <c r="O27" s="364">
        <v>0</v>
      </c>
      <c r="P27" s="364">
        <v>24359</v>
      </c>
      <c r="Q27" s="364">
        <f t="shared" si="2"/>
        <v>14845880</v>
      </c>
      <c r="R27" s="430"/>
    </row>
    <row r="28" spans="1:18" x14ac:dyDescent="0.2">
      <c r="A28" s="258">
        <v>18</v>
      </c>
      <c r="B28" s="361" t="s">
        <v>907</v>
      </c>
      <c r="C28" s="356">
        <v>41570</v>
      </c>
      <c r="D28" s="356">
        <v>387</v>
      </c>
      <c r="E28" s="65">
        <v>0</v>
      </c>
      <c r="F28" s="356">
        <v>174</v>
      </c>
      <c r="G28" s="363">
        <f t="shared" si="0"/>
        <v>42131</v>
      </c>
      <c r="H28" s="365">
        <v>35454</v>
      </c>
      <c r="I28" s="363">
        <v>220</v>
      </c>
      <c r="J28" s="363">
        <v>0</v>
      </c>
      <c r="K28" s="363">
        <v>143</v>
      </c>
      <c r="L28" s="363">
        <f t="shared" si="1"/>
        <v>35817</v>
      </c>
      <c r="M28" s="364">
        <v>7764388</v>
      </c>
      <c r="N28" s="364">
        <v>48155</v>
      </c>
      <c r="O28" s="364">
        <v>0</v>
      </c>
      <c r="P28" s="364">
        <v>31337</v>
      </c>
      <c r="Q28" s="364">
        <f t="shared" si="2"/>
        <v>7843880</v>
      </c>
      <c r="R28" s="430"/>
    </row>
    <row r="29" spans="1:18" x14ac:dyDescent="0.2">
      <c r="A29" s="258">
        <v>19</v>
      </c>
      <c r="B29" s="361" t="s">
        <v>908</v>
      </c>
      <c r="C29" s="356">
        <v>75507</v>
      </c>
      <c r="D29" s="356">
        <v>939</v>
      </c>
      <c r="E29" s="65">
        <v>0</v>
      </c>
      <c r="F29" s="356">
        <v>551</v>
      </c>
      <c r="G29" s="363">
        <f t="shared" si="0"/>
        <v>76997</v>
      </c>
      <c r="H29" s="365">
        <v>66629</v>
      </c>
      <c r="I29" s="363">
        <v>669</v>
      </c>
      <c r="J29" s="363">
        <v>0</v>
      </c>
      <c r="K29" s="363">
        <v>204</v>
      </c>
      <c r="L29" s="363">
        <f t="shared" si="1"/>
        <v>67502</v>
      </c>
      <c r="M29" s="364">
        <v>15124791</v>
      </c>
      <c r="N29" s="364">
        <v>151878</v>
      </c>
      <c r="O29" s="364">
        <v>0</v>
      </c>
      <c r="P29" s="364">
        <v>46237</v>
      </c>
      <c r="Q29" s="364">
        <f t="shared" si="2"/>
        <v>15322906</v>
      </c>
      <c r="R29" s="430"/>
    </row>
    <row r="30" spans="1:18" x14ac:dyDescent="0.2">
      <c r="A30" s="258">
        <v>20</v>
      </c>
      <c r="B30" s="361" t="s">
        <v>909</v>
      </c>
      <c r="C30" s="356">
        <v>66174</v>
      </c>
      <c r="D30" s="356">
        <v>174</v>
      </c>
      <c r="E30" s="65">
        <v>0</v>
      </c>
      <c r="F30" s="356">
        <v>106</v>
      </c>
      <c r="G30" s="363">
        <f t="shared" si="0"/>
        <v>66454</v>
      </c>
      <c r="H30" s="365">
        <v>56162</v>
      </c>
      <c r="I30" s="363">
        <v>171</v>
      </c>
      <c r="J30" s="363">
        <v>0</v>
      </c>
      <c r="K30" s="363">
        <v>106</v>
      </c>
      <c r="L30" s="363">
        <f t="shared" si="1"/>
        <v>56439</v>
      </c>
      <c r="M30" s="364">
        <v>12411904</v>
      </c>
      <c r="N30" s="364">
        <v>37749</v>
      </c>
      <c r="O30" s="364">
        <v>0</v>
      </c>
      <c r="P30" s="364">
        <v>23366</v>
      </c>
      <c r="Q30" s="364">
        <f t="shared" si="2"/>
        <v>12473019</v>
      </c>
      <c r="R30" s="430"/>
    </row>
    <row r="31" spans="1:18" x14ac:dyDescent="0.2">
      <c r="A31" s="258">
        <v>21</v>
      </c>
      <c r="B31" s="361" t="s">
        <v>910</v>
      </c>
      <c r="C31" s="356">
        <v>13923</v>
      </c>
      <c r="D31" s="356">
        <v>1358</v>
      </c>
      <c r="E31" s="65">
        <v>0</v>
      </c>
      <c r="F31" s="356">
        <v>0</v>
      </c>
      <c r="G31" s="363">
        <f t="shared" si="0"/>
        <v>15281</v>
      </c>
      <c r="H31" s="365">
        <v>12609</v>
      </c>
      <c r="I31" s="363">
        <v>1306</v>
      </c>
      <c r="J31" s="363">
        <v>0</v>
      </c>
      <c r="K31" s="363">
        <v>0</v>
      </c>
      <c r="L31" s="363">
        <f t="shared" si="1"/>
        <v>13915</v>
      </c>
      <c r="M31" s="364">
        <v>2811899</v>
      </c>
      <c r="N31" s="364">
        <v>291273</v>
      </c>
      <c r="O31" s="364">
        <v>0</v>
      </c>
      <c r="P31" s="364">
        <v>0</v>
      </c>
      <c r="Q31" s="364">
        <f t="shared" si="2"/>
        <v>3103172</v>
      </c>
      <c r="R31" s="430"/>
    </row>
    <row r="32" spans="1:18" x14ac:dyDescent="0.2">
      <c r="A32" s="258">
        <v>22</v>
      </c>
      <c r="B32" s="361" t="s">
        <v>911</v>
      </c>
      <c r="C32" s="356">
        <v>83924</v>
      </c>
      <c r="D32" s="356">
        <v>958</v>
      </c>
      <c r="E32" s="65">
        <v>0</v>
      </c>
      <c r="F32" s="356">
        <v>440</v>
      </c>
      <c r="G32" s="363">
        <f t="shared" si="0"/>
        <v>85322</v>
      </c>
      <c r="H32" s="365">
        <v>72580</v>
      </c>
      <c r="I32" s="363">
        <v>697</v>
      </c>
      <c r="J32" s="363">
        <v>0</v>
      </c>
      <c r="K32" s="363">
        <v>395</v>
      </c>
      <c r="L32" s="363">
        <f t="shared" si="1"/>
        <v>73672</v>
      </c>
      <c r="M32" s="364">
        <v>15967580</v>
      </c>
      <c r="N32" s="364">
        <v>153365</v>
      </c>
      <c r="O32" s="364">
        <v>0</v>
      </c>
      <c r="P32" s="364">
        <v>86804</v>
      </c>
      <c r="Q32" s="364">
        <f t="shared" si="2"/>
        <v>16207749</v>
      </c>
      <c r="R32" s="430"/>
    </row>
    <row r="33" spans="1:18" x14ac:dyDescent="0.2">
      <c r="A33" s="258">
        <v>23</v>
      </c>
      <c r="B33" s="361" t="s">
        <v>912</v>
      </c>
      <c r="C33" s="356">
        <v>94067</v>
      </c>
      <c r="D33" s="356">
        <v>2661</v>
      </c>
      <c r="E33" s="65">
        <v>0</v>
      </c>
      <c r="F33" s="356">
        <v>2135</v>
      </c>
      <c r="G33" s="363">
        <f t="shared" si="0"/>
        <v>98863</v>
      </c>
      <c r="H33" s="365">
        <v>82774</v>
      </c>
      <c r="I33" s="363">
        <v>1935</v>
      </c>
      <c r="J33" s="363">
        <v>0</v>
      </c>
      <c r="K33" s="363">
        <v>2120</v>
      </c>
      <c r="L33" s="363">
        <f t="shared" si="1"/>
        <v>86829</v>
      </c>
      <c r="M33" s="364">
        <v>18624057</v>
      </c>
      <c r="N33" s="364">
        <v>435359</v>
      </c>
      <c r="O33" s="364">
        <v>0</v>
      </c>
      <c r="P33" s="364">
        <v>477083</v>
      </c>
      <c r="Q33" s="364">
        <f t="shared" si="2"/>
        <v>19536499</v>
      </c>
      <c r="R33" s="430"/>
    </row>
    <row r="34" spans="1:18" x14ac:dyDescent="0.2">
      <c r="A34" s="258">
        <v>24</v>
      </c>
      <c r="B34" s="361" t="s">
        <v>913</v>
      </c>
      <c r="C34" s="356">
        <v>109331</v>
      </c>
      <c r="D34" s="356">
        <v>436</v>
      </c>
      <c r="E34" s="65">
        <v>0</v>
      </c>
      <c r="F34" s="356">
        <v>292</v>
      </c>
      <c r="G34" s="363">
        <f t="shared" si="0"/>
        <v>110059</v>
      </c>
      <c r="H34" s="365">
        <v>100417</v>
      </c>
      <c r="I34" s="363">
        <v>282</v>
      </c>
      <c r="J34" s="363">
        <v>0</v>
      </c>
      <c r="K34" s="363">
        <v>215</v>
      </c>
      <c r="L34" s="363">
        <f t="shared" si="1"/>
        <v>100914</v>
      </c>
      <c r="M34" s="364">
        <v>22593724</v>
      </c>
      <c r="N34" s="364">
        <v>63343</v>
      </c>
      <c r="O34" s="364">
        <v>0</v>
      </c>
      <c r="P34" s="364">
        <v>48482</v>
      </c>
      <c r="Q34" s="364">
        <f t="shared" si="2"/>
        <v>22705549</v>
      </c>
      <c r="R34" s="430"/>
    </row>
    <row r="35" spans="1:18" x14ac:dyDescent="0.2">
      <c r="A35" s="258">
        <v>25</v>
      </c>
      <c r="B35" s="361" t="s">
        <v>919</v>
      </c>
      <c r="C35" s="356">
        <v>54135</v>
      </c>
      <c r="D35" s="356">
        <v>2329</v>
      </c>
      <c r="E35" s="65">
        <v>0</v>
      </c>
      <c r="F35" s="356">
        <v>1377</v>
      </c>
      <c r="G35" s="363">
        <f t="shared" si="0"/>
        <v>57841</v>
      </c>
      <c r="H35" s="365">
        <v>45694</v>
      </c>
      <c r="I35" s="363">
        <v>2224</v>
      </c>
      <c r="J35" s="363">
        <v>0</v>
      </c>
      <c r="K35" s="363">
        <v>1287</v>
      </c>
      <c r="L35" s="363">
        <f t="shared" si="1"/>
        <v>49205</v>
      </c>
      <c r="M35" s="364">
        <v>10098406</v>
      </c>
      <c r="N35" s="364">
        <v>491567</v>
      </c>
      <c r="O35" s="364">
        <v>0</v>
      </c>
      <c r="P35" s="364">
        <v>284461</v>
      </c>
      <c r="Q35" s="364">
        <f t="shared" si="2"/>
        <v>10874434</v>
      </c>
      <c r="R35" s="430"/>
    </row>
    <row r="36" spans="1:18" x14ac:dyDescent="0.2">
      <c r="A36" s="258">
        <v>26</v>
      </c>
      <c r="B36" s="361" t="s">
        <v>914</v>
      </c>
      <c r="C36" s="356">
        <v>29400</v>
      </c>
      <c r="D36" s="356">
        <v>289</v>
      </c>
      <c r="E36" s="65">
        <v>0</v>
      </c>
      <c r="F36" s="356">
        <v>30</v>
      </c>
      <c r="G36" s="363">
        <f t="shared" si="0"/>
        <v>29719</v>
      </c>
      <c r="H36" s="365">
        <v>25858</v>
      </c>
      <c r="I36" s="363">
        <v>269</v>
      </c>
      <c r="J36" s="363">
        <v>0</v>
      </c>
      <c r="K36" s="363">
        <v>30</v>
      </c>
      <c r="L36" s="363">
        <f t="shared" si="1"/>
        <v>26157</v>
      </c>
      <c r="M36" s="364">
        <v>5740511</v>
      </c>
      <c r="N36" s="364">
        <v>59631</v>
      </c>
      <c r="O36" s="364">
        <v>0</v>
      </c>
      <c r="P36" s="364">
        <v>6693</v>
      </c>
      <c r="Q36" s="364">
        <f t="shared" si="2"/>
        <v>5806835</v>
      </c>
      <c r="R36" s="430"/>
    </row>
    <row r="37" spans="1:18" ht="15" x14ac:dyDescent="0.2">
      <c r="A37" s="258">
        <v>27</v>
      </c>
      <c r="B37" s="362" t="s">
        <v>915</v>
      </c>
      <c r="C37" s="356">
        <v>60621</v>
      </c>
      <c r="D37" s="356">
        <v>703</v>
      </c>
      <c r="E37" s="65">
        <v>0</v>
      </c>
      <c r="F37" s="356">
        <v>419</v>
      </c>
      <c r="G37" s="363">
        <f t="shared" si="0"/>
        <v>61743</v>
      </c>
      <c r="H37" s="365">
        <v>52206</v>
      </c>
      <c r="I37" s="363">
        <v>624</v>
      </c>
      <c r="J37" s="363">
        <v>0</v>
      </c>
      <c r="K37" s="363">
        <v>388</v>
      </c>
      <c r="L37" s="363">
        <f t="shared" si="1"/>
        <v>53218</v>
      </c>
      <c r="M37" s="364">
        <v>11380810</v>
      </c>
      <c r="N37" s="364">
        <v>135934</v>
      </c>
      <c r="O37" s="364">
        <v>0</v>
      </c>
      <c r="P37" s="364">
        <v>84498</v>
      </c>
      <c r="Q37" s="364">
        <f t="shared" si="2"/>
        <v>11601242</v>
      </c>
      <c r="R37" s="430"/>
    </row>
    <row r="38" spans="1:18" x14ac:dyDescent="0.2">
      <c r="A38" s="3" t="s">
        <v>18</v>
      </c>
      <c r="B38" s="19"/>
      <c r="C38" s="19">
        <f t="shared" ref="C38:Q38" si="3">SUM(C11:C37)</f>
        <v>1763411</v>
      </c>
      <c r="D38" s="19">
        <f t="shared" si="3"/>
        <v>34816</v>
      </c>
      <c r="E38" s="19">
        <f t="shared" si="3"/>
        <v>0</v>
      </c>
      <c r="F38" s="19">
        <f t="shared" si="3"/>
        <v>10710</v>
      </c>
      <c r="G38" s="19">
        <f t="shared" si="3"/>
        <v>1808937</v>
      </c>
      <c r="H38" s="356">
        <f t="shared" si="3"/>
        <v>1549102</v>
      </c>
      <c r="I38" s="356">
        <f t="shared" si="3"/>
        <v>29740</v>
      </c>
      <c r="J38" s="356">
        <f t="shared" si="3"/>
        <v>0</v>
      </c>
      <c r="K38" s="356">
        <f t="shared" si="3"/>
        <v>9108</v>
      </c>
      <c r="L38" s="356">
        <f t="shared" si="3"/>
        <v>1587950</v>
      </c>
      <c r="M38" s="30">
        <f t="shared" si="3"/>
        <v>344008626</v>
      </c>
      <c r="N38" s="30">
        <f t="shared" si="3"/>
        <v>6542521</v>
      </c>
      <c r="O38" s="30">
        <f t="shared" si="3"/>
        <v>0</v>
      </c>
      <c r="P38" s="30">
        <f t="shared" si="3"/>
        <v>2023594</v>
      </c>
      <c r="Q38" s="30">
        <f t="shared" si="3"/>
        <v>352574741</v>
      </c>
      <c r="R38" s="430"/>
    </row>
    <row r="39" spans="1:18" x14ac:dyDescent="0.2">
      <c r="A39" s="7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8" x14ac:dyDescent="0.2">
      <c r="A40" s="10" t="s">
        <v>8</v>
      </c>
      <c r="B40"/>
      <c r="C40"/>
      <c r="D40"/>
    </row>
    <row r="41" spans="1:18" x14ac:dyDescent="0.2">
      <c r="A41" t="s">
        <v>9</v>
      </c>
      <c r="B41"/>
      <c r="C41"/>
      <c r="D41"/>
    </row>
    <row r="42" spans="1:18" x14ac:dyDescent="0.2">
      <c r="A42" t="s">
        <v>10</v>
      </c>
      <c r="B42"/>
      <c r="C42"/>
      <c r="D42"/>
      <c r="I42" s="11"/>
      <c r="J42" s="11"/>
      <c r="K42" s="11"/>
      <c r="L42" s="11"/>
    </row>
    <row r="43" spans="1:18" customFormat="1" x14ac:dyDescent="0.2">
      <c r="A43" s="15" t="s">
        <v>426</v>
      </c>
      <c r="J43" s="11"/>
      <c r="K43" s="11"/>
      <c r="L43" s="11"/>
    </row>
    <row r="44" spans="1:18" customFormat="1" x14ac:dyDescent="0.2">
      <c r="C44" s="15" t="s">
        <v>427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8" ht="12.75" customHeight="1" x14ac:dyDescent="0.2">
      <c r="A45" s="14"/>
      <c r="B45" s="14"/>
      <c r="C45" s="14"/>
      <c r="D45" s="14"/>
      <c r="E45" s="14"/>
      <c r="F45" s="14"/>
      <c r="G45" s="14"/>
      <c r="H45" s="569"/>
      <c r="I45" s="14"/>
      <c r="J45" s="569"/>
      <c r="K45" s="569"/>
      <c r="L45" s="569"/>
      <c r="M45" s="569"/>
      <c r="N45" s="569"/>
      <c r="O45" s="563"/>
      <c r="P45" s="563"/>
      <c r="Q45" s="563"/>
      <c r="R45" s="569"/>
    </row>
    <row r="46" spans="1:18" ht="12.75" customHeight="1" x14ac:dyDescent="0.2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9"/>
    </row>
    <row r="47" spans="1:18" ht="12.75" customHeight="1" x14ac:dyDescent="0.2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14"/>
      <c r="L47" s="810" t="s">
        <v>13</v>
      </c>
      <c r="M47" s="810"/>
      <c r="N47" s="810"/>
      <c r="O47" s="810"/>
      <c r="P47" s="810"/>
      <c r="Q47" s="563"/>
      <c r="R47" s="563"/>
    </row>
    <row r="48" spans="1:18" x14ac:dyDescent="0.2">
      <c r="A48" s="14"/>
      <c r="B48" s="14"/>
      <c r="C48" s="14"/>
      <c r="D48" s="14"/>
      <c r="E48" s="14"/>
      <c r="F48" s="14"/>
      <c r="G48" s="657"/>
      <c r="H48" s="657"/>
      <c r="I48" s="657"/>
      <c r="J48" s="657"/>
      <c r="K48" s="563"/>
      <c r="L48" s="810" t="s">
        <v>14</v>
      </c>
      <c r="M48" s="810"/>
      <c r="N48" s="810"/>
      <c r="O48" s="810"/>
      <c r="P48" s="810"/>
      <c r="Q48" s="563"/>
      <c r="R48" s="569"/>
    </row>
    <row r="49" spans="1:17" ht="12.75" customHeight="1" x14ac:dyDescent="0.2">
      <c r="A49" s="663"/>
      <c r="B49" s="663"/>
      <c r="C49" s="663"/>
      <c r="D49" s="663"/>
      <c r="E49" s="663"/>
      <c r="F49" s="663"/>
      <c r="G49" s="663"/>
      <c r="H49" s="663"/>
      <c r="I49" s="663"/>
      <c r="J49" s="663"/>
      <c r="K49" s="215" t="s">
        <v>918</v>
      </c>
      <c r="L49" s="810" t="s">
        <v>918</v>
      </c>
      <c r="M49" s="810"/>
      <c r="N49" s="810"/>
      <c r="O49" s="810"/>
      <c r="P49" s="810"/>
      <c r="Q49" s="215"/>
    </row>
    <row r="50" spans="1:17" ht="15" x14ac:dyDescent="0.25">
      <c r="A50" s="492" t="s">
        <v>12</v>
      </c>
      <c r="K50" s="207"/>
      <c r="L50" s="207" t="s">
        <v>82</v>
      </c>
      <c r="M50" s="207"/>
      <c r="N50" s="207"/>
      <c r="O50" s="207"/>
      <c r="P50" s="207"/>
      <c r="Q50" s="207"/>
    </row>
  </sheetData>
  <mergeCells count="13">
    <mergeCell ref="L49:P49"/>
    <mergeCell ref="A5:O5"/>
    <mergeCell ref="O1:Q1"/>
    <mergeCell ref="A2:L2"/>
    <mergeCell ref="A3:L3"/>
    <mergeCell ref="A8:A9"/>
    <mergeCell ref="B8:B9"/>
    <mergeCell ref="C8:G8"/>
    <mergeCell ref="H8:L8"/>
    <mergeCell ref="M8:Q8"/>
    <mergeCell ref="N7:Q7"/>
    <mergeCell ref="L47:P47"/>
    <mergeCell ref="L48:P4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Q50"/>
  <sheetViews>
    <sheetView topLeftCell="E8" zoomScaleSheetLayoutView="80" workbookViewId="0">
      <selection activeCell="M7" sqref="M7:Q7"/>
    </sheetView>
  </sheetViews>
  <sheetFormatPr defaultRowHeight="12.75" x14ac:dyDescent="0.2"/>
  <cols>
    <col min="1" max="1" width="7.140625" style="15" customWidth="1"/>
    <col min="2" max="2" width="14.7109375" style="15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1.7109375" style="15" customWidth="1"/>
    <col min="13" max="13" width="9.7109375" style="15" customWidth="1"/>
    <col min="14" max="14" width="8.7109375" style="15" customWidth="1"/>
    <col min="15" max="15" width="8.85546875" style="15" customWidth="1"/>
    <col min="16" max="16" width="9.140625" style="15"/>
    <col min="17" max="17" width="11" style="15" customWidth="1"/>
    <col min="18" max="16384" width="9.140625" style="15"/>
  </cols>
  <sheetData>
    <row r="1" spans="1:17" customFormat="1" ht="12.75" customHeight="1" x14ac:dyDescent="0.2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64" t="s">
        <v>59</v>
      </c>
      <c r="P1" s="864"/>
      <c r="Q1" s="864"/>
    </row>
    <row r="2" spans="1:17" customFormat="1" ht="15.75" x14ac:dyDescent="0.25">
      <c r="A2" s="865" t="s">
        <v>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45"/>
      <c r="N2" s="45"/>
      <c r="O2" s="45"/>
      <c r="P2" s="45"/>
    </row>
    <row r="3" spans="1:17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44"/>
      <c r="N3" s="44"/>
      <c r="O3" s="44"/>
      <c r="P3" s="44"/>
    </row>
    <row r="4" spans="1:17" customFormat="1" ht="11.25" customHeight="1" x14ac:dyDescent="0.2"/>
    <row r="5" spans="1:17" customFormat="1" ht="15.75" x14ac:dyDescent="0.25">
      <c r="A5" s="933" t="s">
        <v>795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15"/>
      <c r="N5" s="15"/>
      <c r="O5" s="15"/>
      <c r="P5" s="15"/>
    </row>
    <row r="7" spans="1:17" ht="12.6" customHeight="1" x14ac:dyDescent="0.3">
      <c r="A7" s="197" t="s">
        <v>917</v>
      </c>
      <c r="B7" s="197" t="s">
        <v>916</v>
      </c>
      <c r="M7" s="939" t="s">
        <v>1186</v>
      </c>
      <c r="N7" s="939"/>
      <c r="O7" s="939"/>
      <c r="P7" s="939"/>
      <c r="Q7" s="939"/>
    </row>
    <row r="8" spans="1:17" s="14" customFormat="1" ht="29.45" customHeight="1" x14ac:dyDescent="0.2">
      <c r="A8" s="824" t="s">
        <v>2</v>
      </c>
      <c r="B8" s="824" t="s">
        <v>3</v>
      </c>
      <c r="C8" s="862" t="s">
        <v>757</v>
      </c>
      <c r="D8" s="862"/>
      <c r="E8" s="862"/>
      <c r="F8" s="862"/>
      <c r="G8" s="862"/>
      <c r="H8" s="934" t="s">
        <v>629</v>
      </c>
      <c r="I8" s="862"/>
      <c r="J8" s="862"/>
      <c r="K8" s="862"/>
      <c r="L8" s="862"/>
      <c r="M8" s="935" t="s">
        <v>108</v>
      </c>
      <c r="N8" s="936"/>
      <c r="O8" s="936"/>
      <c r="P8" s="936"/>
      <c r="Q8" s="937"/>
    </row>
    <row r="9" spans="1:17" s="14" customFormat="1" ht="38.25" x14ac:dyDescent="0.2">
      <c r="A9" s="824"/>
      <c r="B9" s="824"/>
      <c r="C9" s="5" t="s">
        <v>209</v>
      </c>
      <c r="D9" s="5" t="s">
        <v>210</v>
      </c>
      <c r="E9" s="5" t="s">
        <v>354</v>
      </c>
      <c r="F9" s="7" t="s">
        <v>216</v>
      </c>
      <c r="G9" s="7" t="s">
        <v>113</v>
      </c>
      <c r="H9" s="5" t="s">
        <v>209</v>
      </c>
      <c r="I9" s="5" t="s">
        <v>210</v>
      </c>
      <c r="J9" s="5" t="s">
        <v>354</v>
      </c>
      <c r="K9" s="5" t="s">
        <v>216</v>
      </c>
      <c r="L9" s="5" t="s">
        <v>114</v>
      </c>
      <c r="M9" s="5" t="s">
        <v>209</v>
      </c>
      <c r="N9" s="5" t="s">
        <v>210</v>
      </c>
      <c r="O9" s="5" t="s">
        <v>354</v>
      </c>
      <c r="P9" s="7" t="s">
        <v>216</v>
      </c>
      <c r="Q9" s="5" t="s">
        <v>115</v>
      </c>
    </row>
    <row r="10" spans="1:17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3">
        <v>15</v>
      </c>
      <c r="P10" s="5">
        <v>16</v>
      </c>
      <c r="Q10" s="5">
        <v>17</v>
      </c>
    </row>
    <row r="11" spans="1:17" s="14" customFormat="1" x14ac:dyDescent="0.2">
      <c r="A11" s="5">
        <v>1</v>
      </c>
      <c r="B11" s="361" t="s">
        <v>890</v>
      </c>
      <c r="C11" s="367">
        <v>32306</v>
      </c>
      <c r="D11" s="367">
        <v>292</v>
      </c>
      <c r="E11" s="5">
        <v>0</v>
      </c>
      <c r="F11" s="368">
        <v>36</v>
      </c>
      <c r="G11" s="355">
        <f>SUM(C11:F11)</f>
        <v>32634</v>
      </c>
      <c r="H11" s="363">
        <v>29743</v>
      </c>
      <c r="I11" s="363">
        <v>284</v>
      </c>
      <c r="J11" s="363">
        <v>0</v>
      </c>
      <c r="K11" s="363">
        <v>27</v>
      </c>
      <c r="L11" s="363">
        <f>SUM(H11:K11)</f>
        <v>30054</v>
      </c>
      <c r="M11" s="367">
        <v>6900458</v>
      </c>
      <c r="N11" s="366">
        <v>65892</v>
      </c>
      <c r="O11" s="366">
        <v>0</v>
      </c>
      <c r="P11" s="367">
        <v>6205</v>
      </c>
      <c r="Q11" s="367">
        <f>SUM(M11:P11)</f>
        <v>6972555</v>
      </c>
    </row>
    <row r="12" spans="1:17" s="14" customFormat="1" x14ac:dyDescent="0.2">
      <c r="A12" s="5">
        <v>2</v>
      </c>
      <c r="B12" s="361" t="s">
        <v>891</v>
      </c>
      <c r="C12" s="367">
        <v>70795</v>
      </c>
      <c r="D12" s="367">
        <v>244</v>
      </c>
      <c r="E12" s="5">
        <v>0</v>
      </c>
      <c r="F12" s="368">
        <v>0</v>
      </c>
      <c r="G12" s="355">
        <f t="shared" ref="G12:G37" si="0">SUM(C12:F12)</f>
        <v>71039</v>
      </c>
      <c r="H12" s="363">
        <v>57857</v>
      </c>
      <c r="I12" s="363">
        <v>156</v>
      </c>
      <c r="J12" s="363">
        <v>0</v>
      </c>
      <c r="K12" s="363">
        <v>0</v>
      </c>
      <c r="L12" s="363">
        <f t="shared" ref="L12:L37" si="1">SUM(H12:K12)</f>
        <v>58013</v>
      </c>
      <c r="M12" s="367">
        <v>13249245</v>
      </c>
      <c r="N12" s="366">
        <v>35676</v>
      </c>
      <c r="O12" s="366">
        <v>0</v>
      </c>
      <c r="P12" s="367">
        <v>0</v>
      </c>
      <c r="Q12" s="367">
        <f t="shared" ref="Q12:Q37" si="2">SUM(M12:P12)</f>
        <v>13284921</v>
      </c>
    </row>
    <row r="13" spans="1:17" s="14" customFormat="1" x14ac:dyDescent="0.2">
      <c r="A13" s="5">
        <v>3</v>
      </c>
      <c r="B13" s="361" t="s">
        <v>892</v>
      </c>
      <c r="C13" s="367">
        <v>37002</v>
      </c>
      <c r="D13" s="367">
        <v>1865</v>
      </c>
      <c r="E13" s="5">
        <v>0</v>
      </c>
      <c r="F13" s="368">
        <v>631</v>
      </c>
      <c r="G13" s="355">
        <f t="shared" si="0"/>
        <v>39498</v>
      </c>
      <c r="H13" s="363">
        <v>29941</v>
      </c>
      <c r="I13" s="363">
        <v>1677</v>
      </c>
      <c r="J13" s="363">
        <v>0</v>
      </c>
      <c r="K13" s="363">
        <v>469</v>
      </c>
      <c r="L13" s="363">
        <f t="shared" si="1"/>
        <v>32087</v>
      </c>
      <c r="M13" s="367">
        <v>6736762</v>
      </c>
      <c r="N13" s="366">
        <v>377243</v>
      </c>
      <c r="O13" s="366">
        <v>0</v>
      </c>
      <c r="P13" s="367">
        <v>105422</v>
      </c>
      <c r="Q13" s="367">
        <f t="shared" si="2"/>
        <v>7219427</v>
      </c>
    </row>
    <row r="14" spans="1:17" s="14" customFormat="1" x14ac:dyDescent="0.2">
      <c r="A14" s="5">
        <v>4</v>
      </c>
      <c r="B14" s="361" t="s">
        <v>893</v>
      </c>
      <c r="C14" s="367">
        <v>34993</v>
      </c>
      <c r="D14" s="367">
        <v>933</v>
      </c>
      <c r="E14" s="5">
        <v>0</v>
      </c>
      <c r="F14" s="368">
        <v>29</v>
      </c>
      <c r="G14" s="355">
        <f t="shared" si="0"/>
        <v>35955</v>
      </c>
      <c r="H14" s="363">
        <v>28298</v>
      </c>
      <c r="I14" s="363">
        <v>660</v>
      </c>
      <c r="J14" s="363">
        <v>0</v>
      </c>
      <c r="K14" s="363">
        <v>26</v>
      </c>
      <c r="L14" s="363">
        <f t="shared" si="1"/>
        <v>28984</v>
      </c>
      <c r="M14" s="367">
        <v>6508600</v>
      </c>
      <c r="N14" s="366">
        <v>151735</v>
      </c>
      <c r="O14" s="366">
        <v>0</v>
      </c>
      <c r="P14" s="367">
        <v>6044</v>
      </c>
      <c r="Q14" s="367">
        <f t="shared" si="2"/>
        <v>6666379</v>
      </c>
    </row>
    <row r="15" spans="1:17" s="14" customFormat="1" x14ac:dyDescent="0.2">
      <c r="A15" s="5">
        <v>5</v>
      </c>
      <c r="B15" s="361" t="s">
        <v>894</v>
      </c>
      <c r="C15" s="367">
        <v>46606</v>
      </c>
      <c r="D15" s="367">
        <v>0</v>
      </c>
      <c r="E15" s="5">
        <v>0</v>
      </c>
      <c r="F15" s="368">
        <v>39</v>
      </c>
      <c r="G15" s="355">
        <f t="shared" si="0"/>
        <v>46645</v>
      </c>
      <c r="H15" s="363">
        <v>37873</v>
      </c>
      <c r="I15" s="363">
        <v>0</v>
      </c>
      <c r="J15" s="363">
        <v>0</v>
      </c>
      <c r="K15" s="363">
        <v>30</v>
      </c>
      <c r="L15" s="363">
        <f t="shared" si="1"/>
        <v>37903</v>
      </c>
      <c r="M15" s="367">
        <v>8672932</v>
      </c>
      <c r="N15" s="366">
        <v>0</v>
      </c>
      <c r="O15" s="366">
        <v>0</v>
      </c>
      <c r="P15" s="367">
        <v>6833</v>
      </c>
      <c r="Q15" s="367">
        <f t="shared" si="2"/>
        <v>8679765</v>
      </c>
    </row>
    <row r="16" spans="1:17" s="14" customFormat="1" x14ac:dyDescent="0.2">
      <c r="A16" s="5">
        <v>6</v>
      </c>
      <c r="B16" s="361" t="s">
        <v>895</v>
      </c>
      <c r="C16" s="367">
        <v>10849</v>
      </c>
      <c r="D16" s="367">
        <v>52</v>
      </c>
      <c r="E16" s="5">
        <v>0</v>
      </c>
      <c r="F16" s="368">
        <v>0</v>
      </c>
      <c r="G16" s="355">
        <f t="shared" si="0"/>
        <v>10901</v>
      </c>
      <c r="H16" s="363">
        <v>10802</v>
      </c>
      <c r="I16" s="363">
        <v>52</v>
      </c>
      <c r="J16" s="363">
        <v>0</v>
      </c>
      <c r="K16" s="363">
        <v>0</v>
      </c>
      <c r="L16" s="363">
        <f t="shared" si="1"/>
        <v>10854</v>
      </c>
      <c r="M16" s="367">
        <v>2311572</v>
      </c>
      <c r="N16" s="366">
        <v>11068</v>
      </c>
      <c r="O16" s="366">
        <v>0</v>
      </c>
      <c r="P16" s="367">
        <v>0</v>
      </c>
      <c r="Q16" s="367">
        <f t="shared" si="2"/>
        <v>2322640</v>
      </c>
    </row>
    <row r="17" spans="1:17" s="14" customFormat="1" x14ac:dyDescent="0.2">
      <c r="A17" s="5">
        <v>7</v>
      </c>
      <c r="B17" s="361" t="s">
        <v>896</v>
      </c>
      <c r="C17" s="367">
        <v>87214</v>
      </c>
      <c r="D17" s="367">
        <v>3101</v>
      </c>
      <c r="E17" s="5">
        <v>0</v>
      </c>
      <c r="F17" s="368">
        <v>66</v>
      </c>
      <c r="G17" s="355">
        <f t="shared" si="0"/>
        <v>90381</v>
      </c>
      <c r="H17" s="363">
        <v>70364</v>
      </c>
      <c r="I17" s="363">
        <v>2089</v>
      </c>
      <c r="J17" s="363">
        <v>0</v>
      </c>
      <c r="K17" s="363">
        <v>60</v>
      </c>
      <c r="L17" s="363">
        <f t="shared" si="1"/>
        <v>72513</v>
      </c>
      <c r="M17" s="367">
        <v>15972584</v>
      </c>
      <c r="N17" s="366">
        <v>474123</v>
      </c>
      <c r="O17" s="366">
        <v>0</v>
      </c>
      <c r="P17" s="367">
        <v>13574</v>
      </c>
      <c r="Q17" s="367">
        <f t="shared" si="2"/>
        <v>16460281</v>
      </c>
    </row>
    <row r="18" spans="1:17" s="14" customFormat="1" x14ac:dyDescent="0.2">
      <c r="A18" s="5">
        <v>8</v>
      </c>
      <c r="B18" s="361" t="s">
        <v>897</v>
      </c>
      <c r="C18" s="367">
        <v>9844</v>
      </c>
      <c r="D18" s="367">
        <v>891</v>
      </c>
      <c r="E18" s="5">
        <v>0</v>
      </c>
      <c r="F18" s="368">
        <v>8</v>
      </c>
      <c r="G18" s="355">
        <f t="shared" si="0"/>
        <v>10743</v>
      </c>
      <c r="H18" s="363">
        <v>9205</v>
      </c>
      <c r="I18" s="363">
        <v>885</v>
      </c>
      <c r="J18" s="363">
        <v>0</v>
      </c>
      <c r="K18" s="363">
        <v>6</v>
      </c>
      <c r="L18" s="363">
        <f t="shared" si="1"/>
        <v>10096</v>
      </c>
      <c r="M18" s="367">
        <v>2071083</v>
      </c>
      <c r="N18" s="366">
        <v>199189</v>
      </c>
      <c r="O18" s="366">
        <v>0</v>
      </c>
      <c r="P18" s="367">
        <v>1325</v>
      </c>
      <c r="Q18" s="367">
        <f t="shared" si="2"/>
        <v>2271597</v>
      </c>
    </row>
    <row r="19" spans="1:17" s="14" customFormat="1" x14ac:dyDescent="0.2">
      <c r="A19" s="5">
        <v>9</v>
      </c>
      <c r="B19" s="361" t="s">
        <v>898</v>
      </c>
      <c r="C19" s="367">
        <v>31060</v>
      </c>
      <c r="D19" s="367">
        <v>275</v>
      </c>
      <c r="E19" s="5">
        <v>0</v>
      </c>
      <c r="F19" s="368">
        <v>23</v>
      </c>
      <c r="G19" s="355">
        <f t="shared" si="0"/>
        <v>31358</v>
      </c>
      <c r="H19" s="363">
        <v>28615</v>
      </c>
      <c r="I19" s="363">
        <v>218</v>
      </c>
      <c r="J19" s="363">
        <v>0</v>
      </c>
      <c r="K19" s="363">
        <v>14</v>
      </c>
      <c r="L19" s="363">
        <f t="shared" si="1"/>
        <v>28847</v>
      </c>
      <c r="M19" s="367">
        <v>6610140</v>
      </c>
      <c r="N19" s="366">
        <v>50427</v>
      </c>
      <c r="O19" s="366">
        <v>0</v>
      </c>
      <c r="P19" s="367">
        <v>3274</v>
      </c>
      <c r="Q19" s="367">
        <f t="shared" si="2"/>
        <v>6663841</v>
      </c>
    </row>
    <row r="20" spans="1:17" s="14" customFormat="1" x14ac:dyDescent="0.2">
      <c r="A20" s="5">
        <v>10</v>
      </c>
      <c r="B20" s="361" t="s">
        <v>899</v>
      </c>
      <c r="C20" s="367">
        <v>44532</v>
      </c>
      <c r="D20" s="367">
        <v>642</v>
      </c>
      <c r="E20" s="5">
        <v>0</v>
      </c>
      <c r="F20" s="368">
        <v>372</v>
      </c>
      <c r="G20" s="355">
        <f t="shared" si="0"/>
        <v>45546</v>
      </c>
      <c r="H20" s="363">
        <v>35503</v>
      </c>
      <c r="I20" s="363">
        <v>435</v>
      </c>
      <c r="J20" s="363">
        <v>0</v>
      </c>
      <c r="K20" s="363">
        <v>367</v>
      </c>
      <c r="L20" s="363">
        <f t="shared" si="1"/>
        <v>36305</v>
      </c>
      <c r="M20" s="367">
        <v>8201136</v>
      </c>
      <c r="N20" s="366">
        <v>100533</v>
      </c>
      <c r="O20" s="366">
        <v>0</v>
      </c>
      <c r="P20" s="367">
        <v>84813</v>
      </c>
      <c r="Q20" s="367">
        <f t="shared" si="2"/>
        <v>8386482</v>
      </c>
    </row>
    <row r="21" spans="1:17" s="14" customFormat="1" x14ac:dyDescent="0.2">
      <c r="A21" s="5">
        <v>11</v>
      </c>
      <c r="B21" s="361" t="s">
        <v>900</v>
      </c>
      <c r="C21" s="367">
        <v>29837</v>
      </c>
      <c r="D21" s="367">
        <v>0</v>
      </c>
      <c r="E21" s="5">
        <v>0</v>
      </c>
      <c r="F21" s="368">
        <v>0</v>
      </c>
      <c r="G21" s="355">
        <f t="shared" si="0"/>
        <v>29837</v>
      </c>
      <c r="H21" s="363">
        <v>24324</v>
      </c>
      <c r="I21" s="363">
        <v>0</v>
      </c>
      <c r="J21" s="363">
        <v>0</v>
      </c>
      <c r="K21" s="363">
        <v>0</v>
      </c>
      <c r="L21" s="363">
        <f t="shared" si="1"/>
        <v>24324</v>
      </c>
      <c r="M21" s="367">
        <v>5691701</v>
      </c>
      <c r="N21" s="366">
        <v>0</v>
      </c>
      <c r="O21" s="366">
        <v>0</v>
      </c>
      <c r="P21" s="367">
        <v>0</v>
      </c>
      <c r="Q21" s="367">
        <f t="shared" si="2"/>
        <v>5691701</v>
      </c>
    </row>
    <row r="22" spans="1:17" ht="16.5" customHeight="1" x14ac:dyDescent="0.2">
      <c r="A22" s="5">
        <v>12</v>
      </c>
      <c r="B22" s="361" t="s">
        <v>901</v>
      </c>
      <c r="C22" s="366">
        <v>65441</v>
      </c>
      <c r="D22" s="366">
        <v>1029</v>
      </c>
      <c r="E22" s="348">
        <v>0</v>
      </c>
      <c r="F22" s="369">
        <v>0</v>
      </c>
      <c r="G22" s="355">
        <f t="shared" si="0"/>
        <v>66470</v>
      </c>
      <c r="H22" s="363">
        <v>53800</v>
      </c>
      <c r="I22" s="363">
        <v>397</v>
      </c>
      <c r="J22" s="363">
        <v>0</v>
      </c>
      <c r="K22" s="363">
        <v>0</v>
      </c>
      <c r="L22" s="363">
        <f t="shared" si="1"/>
        <v>54197</v>
      </c>
      <c r="M22" s="366">
        <v>12212543</v>
      </c>
      <c r="N22" s="366">
        <v>90017</v>
      </c>
      <c r="O22" s="366">
        <v>0</v>
      </c>
      <c r="P22" s="366">
        <v>0</v>
      </c>
      <c r="Q22" s="367">
        <f t="shared" si="2"/>
        <v>12302560</v>
      </c>
    </row>
    <row r="23" spans="1:17" x14ac:dyDescent="0.2">
      <c r="A23" s="5">
        <v>13</v>
      </c>
      <c r="B23" s="361" t="s">
        <v>902</v>
      </c>
      <c r="C23" s="366">
        <v>29768</v>
      </c>
      <c r="D23" s="366">
        <v>7616</v>
      </c>
      <c r="E23" s="5">
        <v>0</v>
      </c>
      <c r="F23" s="369">
        <v>254</v>
      </c>
      <c r="G23" s="355">
        <f t="shared" si="0"/>
        <v>37638</v>
      </c>
      <c r="H23" s="363">
        <v>26136</v>
      </c>
      <c r="I23" s="363">
        <v>7336</v>
      </c>
      <c r="J23" s="363">
        <v>0</v>
      </c>
      <c r="K23" s="363">
        <v>243</v>
      </c>
      <c r="L23" s="363">
        <f t="shared" si="1"/>
        <v>33715</v>
      </c>
      <c r="M23" s="366">
        <v>5880590</v>
      </c>
      <c r="N23" s="366">
        <v>1650518</v>
      </c>
      <c r="O23" s="366">
        <v>0</v>
      </c>
      <c r="P23" s="366">
        <v>54582</v>
      </c>
      <c r="Q23" s="367">
        <f t="shared" si="2"/>
        <v>7585690</v>
      </c>
    </row>
    <row r="24" spans="1:17" x14ac:dyDescent="0.2">
      <c r="A24" s="5">
        <v>14</v>
      </c>
      <c r="B24" s="361" t="s">
        <v>903</v>
      </c>
      <c r="C24" s="366">
        <v>32866</v>
      </c>
      <c r="D24" s="366">
        <v>31</v>
      </c>
      <c r="E24" s="5">
        <v>0</v>
      </c>
      <c r="F24" s="369">
        <v>54</v>
      </c>
      <c r="G24" s="355">
        <f t="shared" si="0"/>
        <v>32951</v>
      </c>
      <c r="H24" s="363">
        <v>29171</v>
      </c>
      <c r="I24" s="363">
        <v>27</v>
      </c>
      <c r="J24" s="363">
        <v>0</v>
      </c>
      <c r="K24" s="363">
        <v>37</v>
      </c>
      <c r="L24" s="363">
        <f t="shared" si="1"/>
        <v>29235</v>
      </c>
      <c r="M24" s="366">
        <v>6826117</v>
      </c>
      <c r="N24" s="366">
        <v>6253</v>
      </c>
      <c r="O24" s="366">
        <v>0</v>
      </c>
      <c r="P24" s="366">
        <v>8741</v>
      </c>
      <c r="Q24" s="367">
        <f t="shared" si="2"/>
        <v>6841111</v>
      </c>
    </row>
    <row r="25" spans="1:17" x14ac:dyDescent="0.2">
      <c r="A25" s="5">
        <v>15</v>
      </c>
      <c r="B25" s="361" t="s">
        <v>904</v>
      </c>
      <c r="C25" s="366">
        <v>44733</v>
      </c>
      <c r="D25" s="366">
        <v>223</v>
      </c>
      <c r="E25" s="5">
        <v>0</v>
      </c>
      <c r="F25" s="369">
        <v>54</v>
      </c>
      <c r="G25" s="355">
        <f t="shared" si="0"/>
        <v>45010</v>
      </c>
      <c r="H25" s="363">
        <v>36962</v>
      </c>
      <c r="I25" s="363">
        <v>142</v>
      </c>
      <c r="J25" s="363">
        <v>0</v>
      </c>
      <c r="K25" s="363">
        <v>51</v>
      </c>
      <c r="L25" s="363">
        <f t="shared" si="1"/>
        <v>37155</v>
      </c>
      <c r="M25" s="366">
        <v>8316438</v>
      </c>
      <c r="N25" s="366">
        <v>31883</v>
      </c>
      <c r="O25" s="366">
        <v>0</v>
      </c>
      <c r="P25" s="366">
        <v>11386</v>
      </c>
      <c r="Q25" s="367">
        <f t="shared" si="2"/>
        <v>8359707</v>
      </c>
    </row>
    <row r="26" spans="1:17" x14ac:dyDescent="0.2">
      <c r="A26" s="5">
        <v>16</v>
      </c>
      <c r="B26" s="361" t="s">
        <v>905</v>
      </c>
      <c r="C26" s="366">
        <v>30574</v>
      </c>
      <c r="D26" s="366">
        <v>0</v>
      </c>
      <c r="E26" s="5">
        <v>0</v>
      </c>
      <c r="F26" s="369">
        <v>24</v>
      </c>
      <c r="G26" s="355">
        <f t="shared" si="0"/>
        <v>30598</v>
      </c>
      <c r="H26" s="363">
        <v>26685</v>
      </c>
      <c r="I26" s="363">
        <v>0</v>
      </c>
      <c r="J26" s="363">
        <v>0</v>
      </c>
      <c r="K26" s="363">
        <v>23</v>
      </c>
      <c r="L26" s="363">
        <f t="shared" si="1"/>
        <v>26708</v>
      </c>
      <c r="M26" s="366">
        <v>6164241</v>
      </c>
      <c r="N26" s="366">
        <v>0</v>
      </c>
      <c r="O26" s="366">
        <v>0</v>
      </c>
      <c r="P26" s="366">
        <v>5363</v>
      </c>
      <c r="Q26" s="367">
        <f t="shared" si="2"/>
        <v>6169604</v>
      </c>
    </row>
    <row r="27" spans="1:17" x14ac:dyDescent="0.2">
      <c r="A27" s="5">
        <v>17</v>
      </c>
      <c r="B27" s="361" t="s">
        <v>906</v>
      </c>
      <c r="C27" s="366">
        <v>45527</v>
      </c>
      <c r="D27" s="366">
        <v>532</v>
      </c>
      <c r="E27" s="5">
        <v>0</v>
      </c>
      <c r="F27" s="369">
        <v>0</v>
      </c>
      <c r="G27" s="355">
        <f t="shared" si="0"/>
        <v>46059</v>
      </c>
      <c r="H27" s="363">
        <v>38620</v>
      </c>
      <c r="I27" s="363">
        <v>345</v>
      </c>
      <c r="J27" s="363">
        <v>0</v>
      </c>
      <c r="K27" s="363">
        <v>0</v>
      </c>
      <c r="L27" s="363">
        <f t="shared" si="1"/>
        <v>38965</v>
      </c>
      <c r="M27" s="366">
        <v>8998448</v>
      </c>
      <c r="N27" s="366">
        <v>80315</v>
      </c>
      <c r="O27" s="366">
        <v>0</v>
      </c>
      <c r="P27" s="366">
        <v>0</v>
      </c>
      <c r="Q27" s="367">
        <f t="shared" si="2"/>
        <v>9078763</v>
      </c>
    </row>
    <row r="28" spans="1:17" x14ac:dyDescent="0.2">
      <c r="A28" s="5">
        <v>18</v>
      </c>
      <c r="B28" s="361" t="s">
        <v>907</v>
      </c>
      <c r="C28" s="366">
        <v>25994</v>
      </c>
      <c r="D28" s="366">
        <v>168</v>
      </c>
      <c r="E28" s="5">
        <v>0</v>
      </c>
      <c r="F28" s="369">
        <v>57</v>
      </c>
      <c r="G28" s="355">
        <f t="shared" si="0"/>
        <v>26219</v>
      </c>
      <c r="H28" s="363">
        <v>21213</v>
      </c>
      <c r="I28" s="363">
        <v>78</v>
      </c>
      <c r="J28" s="363">
        <v>0</v>
      </c>
      <c r="K28" s="363">
        <v>42</v>
      </c>
      <c r="L28" s="363">
        <f t="shared" si="1"/>
        <v>21333</v>
      </c>
      <c r="M28" s="366">
        <v>4751732</v>
      </c>
      <c r="N28" s="366">
        <v>17577</v>
      </c>
      <c r="O28" s="366">
        <v>0</v>
      </c>
      <c r="P28" s="366">
        <v>9344</v>
      </c>
      <c r="Q28" s="367">
        <f t="shared" si="2"/>
        <v>4778653</v>
      </c>
    </row>
    <row r="29" spans="1:17" x14ac:dyDescent="0.2">
      <c r="A29" s="5">
        <v>19</v>
      </c>
      <c r="B29" s="361" t="s">
        <v>908</v>
      </c>
      <c r="C29" s="366">
        <v>50610</v>
      </c>
      <c r="D29" s="366">
        <v>1174</v>
      </c>
      <c r="E29" s="5">
        <v>0</v>
      </c>
      <c r="F29" s="369">
        <v>36</v>
      </c>
      <c r="G29" s="355">
        <f t="shared" si="0"/>
        <v>51820</v>
      </c>
      <c r="H29" s="363">
        <v>42924</v>
      </c>
      <c r="I29" s="363">
        <v>592</v>
      </c>
      <c r="J29" s="363">
        <v>0</v>
      </c>
      <c r="K29" s="363">
        <v>0</v>
      </c>
      <c r="L29" s="363">
        <f t="shared" si="1"/>
        <v>43516</v>
      </c>
      <c r="M29" s="366">
        <v>10044162</v>
      </c>
      <c r="N29" s="366">
        <v>138628</v>
      </c>
      <c r="O29" s="366">
        <v>0</v>
      </c>
      <c r="P29" s="366">
        <v>0</v>
      </c>
      <c r="Q29" s="367">
        <f t="shared" si="2"/>
        <v>10182790</v>
      </c>
    </row>
    <row r="30" spans="1:17" x14ac:dyDescent="0.2">
      <c r="A30" s="5">
        <v>20</v>
      </c>
      <c r="B30" s="361" t="s">
        <v>909</v>
      </c>
      <c r="C30" s="366">
        <v>37014</v>
      </c>
      <c r="D30" s="366">
        <v>171</v>
      </c>
      <c r="E30" s="5">
        <v>0</v>
      </c>
      <c r="F30" s="369">
        <v>0</v>
      </c>
      <c r="G30" s="355">
        <f t="shared" si="0"/>
        <v>37185</v>
      </c>
      <c r="H30" s="363">
        <v>30700</v>
      </c>
      <c r="I30" s="363">
        <v>112</v>
      </c>
      <c r="J30" s="363">
        <v>0</v>
      </c>
      <c r="K30" s="363">
        <v>0</v>
      </c>
      <c r="L30" s="363">
        <f t="shared" si="1"/>
        <v>30812</v>
      </c>
      <c r="M30" s="366">
        <v>6968872</v>
      </c>
      <c r="N30" s="366">
        <v>25331</v>
      </c>
      <c r="O30" s="366">
        <v>0</v>
      </c>
      <c r="P30" s="366">
        <v>0</v>
      </c>
      <c r="Q30" s="367">
        <f t="shared" si="2"/>
        <v>6994203</v>
      </c>
    </row>
    <row r="31" spans="1:17" x14ac:dyDescent="0.2">
      <c r="A31" s="5">
        <v>21</v>
      </c>
      <c r="B31" s="361" t="s">
        <v>910</v>
      </c>
      <c r="C31" s="366">
        <v>6529</v>
      </c>
      <c r="D31" s="366">
        <v>591</v>
      </c>
      <c r="E31" s="5">
        <v>0</v>
      </c>
      <c r="F31" s="369">
        <v>0</v>
      </c>
      <c r="G31" s="355">
        <f t="shared" si="0"/>
        <v>7120</v>
      </c>
      <c r="H31" s="363">
        <v>5531</v>
      </c>
      <c r="I31" s="363">
        <v>591</v>
      </c>
      <c r="J31" s="363">
        <v>0</v>
      </c>
      <c r="K31" s="363">
        <v>0</v>
      </c>
      <c r="L31" s="363">
        <f t="shared" si="1"/>
        <v>6122</v>
      </c>
      <c r="M31" s="366">
        <v>1277610</v>
      </c>
      <c r="N31" s="366">
        <v>136616</v>
      </c>
      <c r="O31" s="366">
        <v>0</v>
      </c>
      <c r="P31" s="366">
        <v>0</v>
      </c>
      <c r="Q31" s="367">
        <f t="shared" si="2"/>
        <v>1414226</v>
      </c>
    </row>
    <row r="32" spans="1:17" x14ac:dyDescent="0.2">
      <c r="A32" s="5">
        <v>22</v>
      </c>
      <c r="B32" s="361" t="s">
        <v>911</v>
      </c>
      <c r="C32" s="366">
        <v>54503</v>
      </c>
      <c r="D32" s="366">
        <v>1287</v>
      </c>
      <c r="E32" s="5">
        <v>0</v>
      </c>
      <c r="F32" s="369">
        <v>92</v>
      </c>
      <c r="G32" s="355">
        <f t="shared" si="0"/>
        <v>55882</v>
      </c>
      <c r="H32" s="363">
        <v>44643</v>
      </c>
      <c r="I32" s="363">
        <v>903</v>
      </c>
      <c r="J32" s="363">
        <v>0</v>
      </c>
      <c r="K32" s="363">
        <v>87</v>
      </c>
      <c r="L32" s="363">
        <f t="shared" si="1"/>
        <v>45633</v>
      </c>
      <c r="M32" s="366">
        <v>10089394</v>
      </c>
      <c r="N32" s="366">
        <v>204142</v>
      </c>
      <c r="O32" s="366">
        <v>0</v>
      </c>
      <c r="P32" s="366">
        <v>19756</v>
      </c>
      <c r="Q32" s="367">
        <f t="shared" si="2"/>
        <v>10313292</v>
      </c>
    </row>
    <row r="33" spans="1:17" x14ac:dyDescent="0.2">
      <c r="A33" s="5">
        <v>23</v>
      </c>
      <c r="B33" s="361" t="s">
        <v>912</v>
      </c>
      <c r="C33" s="366">
        <v>67823</v>
      </c>
      <c r="D33" s="366">
        <v>2324</v>
      </c>
      <c r="E33" s="5">
        <v>0</v>
      </c>
      <c r="F33" s="369">
        <v>246</v>
      </c>
      <c r="G33" s="355">
        <f t="shared" si="0"/>
        <v>70393</v>
      </c>
      <c r="H33" s="363">
        <v>57098</v>
      </c>
      <c r="I33" s="363">
        <v>1515</v>
      </c>
      <c r="J33" s="363">
        <v>0</v>
      </c>
      <c r="K33" s="363">
        <v>174</v>
      </c>
      <c r="L33" s="363">
        <f t="shared" si="1"/>
        <v>58787</v>
      </c>
      <c r="M33" s="366">
        <v>13189729</v>
      </c>
      <c r="N33" s="366">
        <v>350043</v>
      </c>
      <c r="O33" s="366">
        <v>0</v>
      </c>
      <c r="P33" s="366">
        <v>40095</v>
      </c>
      <c r="Q33" s="367">
        <f t="shared" si="2"/>
        <v>13579867</v>
      </c>
    </row>
    <row r="34" spans="1:17" x14ac:dyDescent="0.2">
      <c r="A34" s="5">
        <v>24</v>
      </c>
      <c r="B34" s="361" t="s">
        <v>913</v>
      </c>
      <c r="C34" s="366">
        <v>70322</v>
      </c>
      <c r="D34" s="366">
        <v>329</v>
      </c>
      <c r="E34" s="5">
        <v>0</v>
      </c>
      <c r="F34" s="369">
        <v>98</v>
      </c>
      <c r="G34" s="355">
        <f t="shared" si="0"/>
        <v>70749</v>
      </c>
      <c r="H34" s="363">
        <v>61409</v>
      </c>
      <c r="I34" s="363">
        <v>248</v>
      </c>
      <c r="J34" s="363">
        <v>0</v>
      </c>
      <c r="K34" s="363">
        <v>64</v>
      </c>
      <c r="L34" s="363">
        <f t="shared" si="1"/>
        <v>61721</v>
      </c>
      <c r="M34" s="366">
        <v>14246928</v>
      </c>
      <c r="N34" s="366">
        <v>57454</v>
      </c>
      <c r="O34" s="366">
        <v>0</v>
      </c>
      <c r="P34" s="366">
        <v>14869</v>
      </c>
      <c r="Q34" s="367">
        <f t="shared" si="2"/>
        <v>14319251</v>
      </c>
    </row>
    <row r="35" spans="1:17" x14ac:dyDescent="0.2">
      <c r="A35" s="5">
        <v>25</v>
      </c>
      <c r="B35" s="361" t="s">
        <v>919</v>
      </c>
      <c r="C35" s="366">
        <v>32257</v>
      </c>
      <c r="D35" s="366">
        <v>1700</v>
      </c>
      <c r="E35" s="5">
        <v>0</v>
      </c>
      <c r="F35" s="369">
        <v>34</v>
      </c>
      <c r="G35" s="355">
        <f t="shared" si="0"/>
        <v>33991</v>
      </c>
      <c r="H35" s="363">
        <v>27692</v>
      </c>
      <c r="I35" s="363">
        <v>1532</v>
      </c>
      <c r="J35" s="363">
        <v>0</v>
      </c>
      <c r="K35" s="363">
        <v>27</v>
      </c>
      <c r="L35" s="363">
        <f t="shared" si="1"/>
        <v>29251</v>
      </c>
      <c r="M35" s="366">
        <v>6341532</v>
      </c>
      <c r="N35" s="366">
        <v>350924</v>
      </c>
      <c r="O35" s="366">
        <v>0</v>
      </c>
      <c r="P35" s="366">
        <v>6160</v>
      </c>
      <c r="Q35" s="367">
        <f t="shared" si="2"/>
        <v>6698616</v>
      </c>
    </row>
    <row r="36" spans="1:17" x14ac:dyDescent="0.2">
      <c r="A36" s="5">
        <v>26</v>
      </c>
      <c r="B36" s="361" t="s">
        <v>914</v>
      </c>
      <c r="C36" s="366">
        <v>8389</v>
      </c>
      <c r="D36" s="366">
        <v>73</v>
      </c>
      <c r="E36" s="5">
        <v>0</v>
      </c>
      <c r="F36" s="369">
        <v>0</v>
      </c>
      <c r="G36" s="355">
        <f t="shared" si="0"/>
        <v>8462</v>
      </c>
      <c r="H36" s="363">
        <v>7586</v>
      </c>
      <c r="I36" s="363">
        <v>69</v>
      </c>
      <c r="J36" s="363">
        <v>0</v>
      </c>
      <c r="K36" s="363">
        <v>0</v>
      </c>
      <c r="L36" s="363">
        <f t="shared" si="1"/>
        <v>7655</v>
      </c>
      <c r="M36" s="366">
        <v>1646173</v>
      </c>
      <c r="N36" s="366">
        <v>14938</v>
      </c>
      <c r="O36" s="366">
        <v>0</v>
      </c>
      <c r="P36" s="366">
        <v>0</v>
      </c>
      <c r="Q36" s="367">
        <f t="shared" si="2"/>
        <v>1661111</v>
      </c>
    </row>
    <row r="37" spans="1:17" ht="15" x14ac:dyDescent="0.2">
      <c r="A37" s="5">
        <v>27</v>
      </c>
      <c r="B37" s="362" t="s">
        <v>915</v>
      </c>
      <c r="C37" s="366">
        <v>35268</v>
      </c>
      <c r="D37" s="366">
        <v>453</v>
      </c>
      <c r="E37" s="5">
        <v>0</v>
      </c>
      <c r="F37" s="369">
        <v>174</v>
      </c>
      <c r="G37" s="355">
        <f t="shared" si="0"/>
        <v>35895</v>
      </c>
      <c r="H37" s="363">
        <v>30393</v>
      </c>
      <c r="I37" s="363">
        <v>320</v>
      </c>
      <c r="J37" s="363">
        <v>0</v>
      </c>
      <c r="K37" s="363">
        <v>145</v>
      </c>
      <c r="L37" s="363">
        <f t="shared" si="1"/>
        <v>30858</v>
      </c>
      <c r="M37" s="366">
        <v>6838523</v>
      </c>
      <c r="N37" s="366">
        <v>72073</v>
      </c>
      <c r="O37" s="366">
        <v>0</v>
      </c>
      <c r="P37" s="366">
        <v>32688</v>
      </c>
      <c r="Q37" s="367">
        <f t="shared" si="2"/>
        <v>6943284</v>
      </c>
    </row>
    <row r="38" spans="1:17" x14ac:dyDescent="0.2">
      <c r="A38" s="3" t="s">
        <v>18</v>
      </c>
      <c r="B38" s="19"/>
      <c r="C38" s="19">
        <f t="shared" ref="C38:Q38" si="3">SUM(C11:C37)</f>
        <v>1072656</v>
      </c>
      <c r="D38" s="19">
        <f t="shared" si="3"/>
        <v>25996</v>
      </c>
      <c r="E38" s="19">
        <f t="shared" si="3"/>
        <v>0</v>
      </c>
      <c r="F38" s="19">
        <f t="shared" si="3"/>
        <v>2327</v>
      </c>
      <c r="G38" s="356">
        <f t="shared" si="3"/>
        <v>1100979</v>
      </c>
      <c r="H38" s="356">
        <f t="shared" si="3"/>
        <v>903088</v>
      </c>
      <c r="I38" s="356">
        <f t="shared" si="3"/>
        <v>20663</v>
      </c>
      <c r="J38" s="356">
        <f t="shared" si="3"/>
        <v>0</v>
      </c>
      <c r="K38" s="356">
        <f t="shared" si="3"/>
        <v>1892</v>
      </c>
      <c r="L38" s="356">
        <f t="shared" si="3"/>
        <v>925643</v>
      </c>
      <c r="M38" s="30">
        <f t="shared" si="3"/>
        <v>206719245</v>
      </c>
      <c r="N38" s="30">
        <f t="shared" si="3"/>
        <v>4692598</v>
      </c>
      <c r="O38" s="30">
        <f t="shared" si="3"/>
        <v>0</v>
      </c>
      <c r="P38" s="30">
        <f t="shared" si="3"/>
        <v>430474</v>
      </c>
      <c r="Q38" s="30">
        <f t="shared" si="3"/>
        <v>211842317</v>
      </c>
    </row>
    <row r="39" spans="1:17" x14ac:dyDescent="0.2">
      <c r="A39" s="7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x14ac:dyDescent="0.2">
      <c r="A40" s="10" t="s">
        <v>8</v>
      </c>
      <c r="B40"/>
      <c r="C40"/>
      <c r="D40"/>
    </row>
    <row r="41" spans="1:17" x14ac:dyDescent="0.2">
      <c r="A41" t="s">
        <v>9</v>
      </c>
      <c r="B41"/>
      <c r="C41"/>
      <c r="D41"/>
    </row>
    <row r="42" spans="1:17" x14ac:dyDescent="0.2">
      <c r="A42" t="s">
        <v>10</v>
      </c>
      <c r="B42"/>
      <c r="C42"/>
      <c r="D42"/>
      <c r="I42" s="11"/>
      <c r="J42" s="11"/>
      <c r="K42" s="11"/>
      <c r="L42" s="11"/>
    </row>
    <row r="43" spans="1:17" customFormat="1" x14ac:dyDescent="0.2">
      <c r="A43" s="15" t="s">
        <v>426</v>
      </c>
      <c r="J43" s="11"/>
      <c r="K43" s="11"/>
      <c r="L43" s="11"/>
    </row>
    <row r="44" spans="1:17" customFormat="1" x14ac:dyDescent="0.2">
      <c r="C44" s="15" t="s">
        <v>428</v>
      </c>
      <c r="E44" s="12"/>
      <c r="F44" s="12"/>
      <c r="G44" s="12"/>
      <c r="H44" s="12"/>
      <c r="I44" s="12"/>
      <c r="J44" s="12"/>
      <c r="K44" s="12"/>
      <c r="L44" s="12"/>
      <c r="M44" s="12"/>
    </row>
    <row r="46" spans="1:17" s="569" customFormat="1" ht="12.75" customHeight="1" x14ac:dyDescent="0.2">
      <c r="A46" s="14"/>
      <c r="B46" s="14"/>
      <c r="C46" s="14"/>
      <c r="D46" s="14"/>
      <c r="E46" s="14"/>
      <c r="F46" s="14"/>
      <c r="G46" s="14"/>
      <c r="I46" s="14"/>
      <c r="M46" s="810" t="s">
        <v>13</v>
      </c>
      <c r="N46" s="810"/>
      <c r="O46" s="810"/>
      <c r="P46" s="810"/>
      <c r="Q46" s="810"/>
    </row>
    <row r="47" spans="1:17" s="569" customFormat="1" ht="12.75" customHeight="1" x14ac:dyDescent="0.2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810" t="s">
        <v>14</v>
      </c>
      <c r="N47" s="810"/>
      <c r="O47" s="810"/>
      <c r="P47" s="810"/>
      <c r="Q47" s="810"/>
    </row>
    <row r="48" spans="1:17" s="569" customFormat="1" ht="12.75" customHeight="1" x14ac:dyDescent="0.2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810" t="s">
        <v>918</v>
      </c>
      <c r="N48" s="810"/>
      <c r="O48" s="810"/>
      <c r="P48" s="810"/>
      <c r="Q48" s="810"/>
    </row>
    <row r="49" spans="1:17" s="569" customFormat="1" ht="15" x14ac:dyDescent="0.25">
      <c r="A49" s="492" t="s">
        <v>12</v>
      </c>
      <c r="B49" s="14"/>
      <c r="C49" s="14"/>
      <c r="D49" s="14"/>
      <c r="E49" s="14"/>
      <c r="F49" s="14"/>
      <c r="M49" s="207" t="s">
        <v>82</v>
      </c>
      <c r="N49" s="207"/>
      <c r="O49" s="207"/>
      <c r="P49" s="207"/>
      <c r="Q49" s="207"/>
    </row>
    <row r="50" spans="1:17" x14ac:dyDescent="0.2">
      <c r="A50" s="938"/>
      <c r="B50" s="938"/>
      <c r="C50" s="938"/>
      <c r="D50" s="938"/>
      <c r="E50" s="938"/>
      <c r="F50" s="938"/>
      <c r="G50" s="938"/>
      <c r="H50" s="938"/>
      <c r="I50" s="938"/>
      <c r="J50" s="938"/>
      <c r="K50" s="938"/>
      <c r="L50" s="938"/>
    </row>
  </sheetData>
  <mergeCells count="14">
    <mergeCell ref="A50:L50"/>
    <mergeCell ref="O1:Q1"/>
    <mergeCell ref="A2:L2"/>
    <mergeCell ref="A3:L3"/>
    <mergeCell ref="A5:L5"/>
    <mergeCell ref="M8:Q8"/>
    <mergeCell ref="A8:A9"/>
    <mergeCell ref="B8:B9"/>
    <mergeCell ref="C8:G8"/>
    <mergeCell ref="H8:L8"/>
    <mergeCell ref="M46:Q46"/>
    <mergeCell ref="M47:Q47"/>
    <mergeCell ref="M48:Q48"/>
    <mergeCell ref="M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H44"/>
  <sheetViews>
    <sheetView topLeftCell="A13" zoomScale="73" zoomScaleNormal="73" zoomScaleSheetLayoutView="100" workbookViewId="0">
      <selection activeCell="F6" sqref="F6:G6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922" t="s">
        <v>0</v>
      </c>
      <c r="B1" s="922"/>
      <c r="C1" s="922"/>
      <c r="D1" s="922"/>
      <c r="E1" s="922"/>
      <c r="G1" s="194" t="s">
        <v>630</v>
      </c>
    </row>
    <row r="2" spans="1:7" ht="21" x14ac:dyDescent="0.35">
      <c r="A2" s="923" t="s">
        <v>738</v>
      </c>
      <c r="B2" s="923"/>
      <c r="C2" s="923"/>
      <c r="D2" s="923"/>
      <c r="E2" s="923"/>
      <c r="F2" s="923"/>
    </row>
    <row r="3" spans="1:7" ht="15" x14ac:dyDescent="0.3">
      <c r="A3" s="196"/>
      <c r="B3" s="196"/>
    </row>
    <row r="4" spans="1:7" ht="18" customHeight="1" x14ac:dyDescent="0.35">
      <c r="A4" s="924" t="s">
        <v>631</v>
      </c>
      <c r="B4" s="924"/>
      <c r="C4" s="924"/>
      <c r="D4" s="924"/>
      <c r="E4" s="924"/>
      <c r="F4" s="924"/>
    </row>
    <row r="5" spans="1:7" ht="15" x14ac:dyDescent="0.3">
      <c r="A5" s="197" t="s">
        <v>917</v>
      </c>
      <c r="B5" s="197" t="s">
        <v>916</v>
      </c>
    </row>
    <row r="6" spans="1:7" ht="15" x14ac:dyDescent="0.3">
      <c r="A6" s="197"/>
      <c r="B6" s="197"/>
      <c r="F6" s="925" t="s">
        <v>1186</v>
      </c>
      <c r="G6" s="925"/>
    </row>
    <row r="7" spans="1:7" ht="48" customHeight="1" x14ac:dyDescent="0.2">
      <c r="A7" s="198" t="s">
        <v>2</v>
      </c>
      <c r="B7" s="198" t="s">
        <v>3</v>
      </c>
      <c r="C7" s="289" t="s">
        <v>632</v>
      </c>
      <c r="D7" s="289" t="s">
        <v>633</v>
      </c>
      <c r="E7" s="289" t="s">
        <v>634</v>
      </c>
      <c r="F7" s="289" t="s">
        <v>635</v>
      </c>
      <c r="G7" s="276" t="s">
        <v>636</v>
      </c>
    </row>
    <row r="8" spans="1:7" s="194" customFormat="1" ht="15" x14ac:dyDescent="0.25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200" t="s">
        <v>263</v>
      </c>
    </row>
    <row r="9" spans="1:7" s="194" customFormat="1" ht="15" x14ac:dyDescent="0.25">
      <c r="A9" s="200">
        <v>1</v>
      </c>
      <c r="B9" s="361" t="s">
        <v>890</v>
      </c>
      <c r="C9" s="371">
        <f>'enrolment vs availed_PY'!G11+'enrolment vs availed_UPY'!G11</f>
        <v>81458</v>
      </c>
      <c r="D9" s="370">
        <f>C9-E9</f>
        <v>81363</v>
      </c>
      <c r="E9" s="371">
        <v>95</v>
      </c>
      <c r="F9" s="372">
        <v>0</v>
      </c>
      <c r="G9" s="372">
        <v>0</v>
      </c>
    </row>
    <row r="10" spans="1:7" s="194" customFormat="1" ht="15" x14ac:dyDescent="0.25">
      <c r="A10" s="200">
        <v>2</v>
      </c>
      <c r="B10" s="361" t="s">
        <v>891</v>
      </c>
      <c r="C10" s="371">
        <f>'enrolment vs availed_PY'!G12+'enrolment vs availed_UPY'!G12</f>
        <v>184725</v>
      </c>
      <c r="D10" s="370">
        <f t="shared" ref="D10:D35" si="0">C10-E10</f>
        <v>183480</v>
      </c>
      <c r="E10" s="371">
        <v>1245</v>
      </c>
      <c r="F10" s="372">
        <v>0</v>
      </c>
      <c r="G10" s="372">
        <v>0</v>
      </c>
    </row>
    <row r="11" spans="1:7" s="194" customFormat="1" ht="15" x14ac:dyDescent="0.25">
      <c r="A11" s="200">
        <v>3</v>
      </c>
      <c r="B11" s="361" t="s">
        <v>892</v>
      </c>
      <c r="C11" s="371">
        <f>'enrolment vs availed_PY'!G13+'enrolment vs availed_UPY'!G13</f>
        <v>112231</v>
      </c>
      <c r="D11" s="370">
        <f t="shared" si="0"/>
        <v>112108</v>
      </c>
      <c r="E11" s="371">
        <v>123</v>
      </c>
      <c r="F11" s="372">
        <v>0</v>
      </c>
      <c r="G11" s="372">
        <v>0</v>
      </c>
    </row>
    <row r="12" spans="1:7" s="194" customFormat="1" ht="15" x14ac:dyDescent="0.25">
      <c r="A12" s="200">
        <v>4</v>
      </c>
      <c r="B12" s="361" t="s">
        <v>893</v>
      </c>
      <c r="C12" s="371">
        <f>'enrolment vs availed_PY'!G14+'enrolment vs availed_UPY'!G14</f>
        <v>105440</v>
      </c>
      <c r="D12" s="370">
        <f t="shared" si="0"/>
        <v>92983</v>
      </c>
      <c r="E12" s="371">
        <v>12457</v>
      </c>
      <c r="F12" s="372">
        <v>0</v>
      </c>
      <c r="G12" s="372">
        <v>0</v>
      </c>
    </row>
    <row r="13" spans="1:7" s="194" customFormat="1" ht="15" x14ac:dyDescent="0.25">
      <c r="A13" s="200">
        <v>5</v>
      </c>
      <c r="B13" s="361" t="s">
        <v>894</v>
      </c>
      <c r="C13" s="371">
        <f>'enrolment vs availed_PY'!G15+'enrolment vs availed_UPY'!G15</f>
        <v>117859</v>
      </c>
      <c r="D13" s="370">
        <f t="shared" si="0"/>
        <v>114614</v>
      </c>
      <c r="E13" s="371">
        <v>3245</v>
      </c>
      <c r="F13" s="372">
        <v>0</v>
      </c>
      <c r="G13" s="372">
        <v>0</v>
      </c>
    </row>
    <row r="14" spans="1:7" s="194" customFormat="1" ht="15" x14ac:dyDescent="0.25">
      <c r="A14" s="200">
        <v>6</v>
      </c>
      <c r="B14" s="361" t="s">
        <v>895</v>
      </c>
      <c r="C14" s="371">
        <f>'enrolment vs availed_PY'!G16+'enrolment vs availed_UPY'!G16</f>
        <v>40760</v>
      </c>
      <c r="D14" s="370">
        <f t="shared" si="0"/>
        <v>40139</v>
      </c>
      <c r="E14" s="371">
        <v>621</v>
      </c>
      <c r="F14" s="372">
        <v>0</v>
      </c>
      <c r="G14" s="372">
        <v>0</v>
      </c>
    </row>
    <row r="15" spans="1:7" s="194" customFormat="1" ht="15" x14ac:dyDescent="0.25">
      <c r="A15" s="200">
        <v>7</v>
      </c>
      <c r="B15" s="361" t="s">
        <v>896</v>
      </c>
      <c r="C15" s="371">
        <f>'enrolment vs availed_PY'!G17+'enrolment vs availed_UPY'!G17</f>
        <v>237465</v>
      </c>
      <c r="D15" s="370">
        <f t="shared" si="0"/>
        <v>237144</v>
      </c>
      <c r="E15" s="371">
        <v>321</v>
      </c>
      <c r="F15" s="372">
        <v>0</v>
      </c>
      <c r="G15" s="372">
        <v>0</v>
      </c>
    </row>
    <row r="16" spans="1:7" s="194" customFormat="1" ht="15" x14ac:dyDescent="0.25">
      <c r="A16" s="200">
        <v>8</v>
      </c>
      <c r="B16" s="361" t="s">
        <v>897</v>
      </c>
      <c r="C16" s="371">
        <f>'enrolment vs availed_PY'!G18+'enrolment vs availed_UPY'!G18</f>
        <v>36719</v>
      </c>
      <c r="D16" s="370">
        <f t="shared" si="0"/>
        <v>34135</v>
      </c>
      <c r="E16" s="371">
        <v>2584</v>
      </c>
      <c r="F16" s="372">
        <v>0</v>
      </c>
      <c r="G16" s="372">
        <v>0</v>
      </c>
    </row>
    <row r="17" spans="1:7" s="194" customFormat="1" ht="15" x14ac:dyDescent="0.25">
      <c r="A17" s="200">
        <v>9</v>
      </c>
      <c r="B17" s="361" t="s">
        <v>898</v>
      </c>
      <c r="C17" s="371">
        <f>'enrolment vs availed_PY'!G19+'enrolment vs availed_UPY'!G19</f>
        <v>77459</v>
      </c>
      <c r="D17" s="370">
        <f t="shared" si="0"/>
        <v>74258</v>
      </c>
      <c r="E17" s="371">
        <v>3201</v>
      </c>
      <c r="F17" s="372">
        <v>0</v>
      </c>
      <c r="G17" s="372">
        <v>0</v>
      </c>
    </row>
    <row r="18" spans="1:7" s="194" customFormat="1" ht="15.75" x14ac:dyDescent="0.25">
      <c r="A18" s="200">
        <v>10</v>
      </c>
      <c r="B18" s="361" t="s">
        <v>899</v>
      </c>
      <c r="C18" s="438">
        <v>109396</v>
      </c>
      <c r="D18" s="438">
        <v>109283</v>
      </c>
      <c r="E18" s="438">
        <v>113</v>
      </c>
      <c r="F18" s="372">
        <v>0</v>
      </c>
      <c r="G18" s="372">
        <v>0</v>
      </c>
    </row>
    <row r="19" spans="1:7" s="194" customFormat="1" ht="15" x14ac:dyDescent="0.25">
      <c r="A19" s="200">
        <v>11</v>
      </c>
      <c r="B19" s="361" t="s">
        <v>900</v>
      </c>
      <c r="C19" s="371">
        <f>'enrolment vs availed_PY'!G21+'enrolment vs availed_UPY'!G21</f>
        <v>79776</v>
      </c>
      <c r="D19" s="370">
        <f t="shared" si="0"/>
        <v>78791</v>
      </c>
      <c r="E19" s="371">
        <v>985</v>
      </c>
      <c r="F19" s="372">
        <v>0</v>
      </c>
      <c r="G19" s="372">
        <v>0</v>
      </c>
    </row>
    <row r="20" spans="1:7" s="194" customFormat="1" ht="15" x14ac:dyDescent="0.25">
      <c r="A20" s="200">
        <v>12</v>
      </c>
      <c r="B20" s="361" t="s">
        <v>901</v>
      </c>
      <c r="C20" s="371">
        <f>'enrolment vs availed_PY'!G22+'enrolment vs availed_UPY'!G22</f>
        <v>169361</v>
      </c>
      <c r="D20" s="370">
        <f t="shared" si="0"/>
        <v>167010</v>
      </c>
      <c r="E20" s="371">
        <v>2351</v>
      </c>
      <c r="F20" s="372">
        <v>0</v>
      </c>
      <c r="G20" s="372">
        <v>0</v>
      </c>
    </row>
    <row r="21" spans="1:7" s="194" customFormat="1" ht="15" x14ac:dyDescent="0.25">
      <c r="A21" s="200">
        <v>13</v>
      </c>
      <c r="B21" s="361" t="s">
        <v>902</v>
      </c>
      <c r="C21" s="371">
        <f>'enrolment vs availed_PY'!G23+'enrolment vs availed_UPY'!G23</f>
        <v>104098</v>
      </c>
      <c r="D21" s="370">
        <f t="shared" si="0"/>
        <v>103858</v>
      </c>
      <c r="E21" s="371">
        <v>240</v>
      </c>
      <c r="F21" s="372">
        <v>0</v>
      </c>
      <c r="G21" s="372">
        <v>0</v>
      </c>
    </row>
    <row r="22" spans="1:7" s="194" customFormat="1" ht="15" x14ac:dyDescent="0.25">
      <c r="A22" s="200">
        <v>14</v>
      </c>
      <c r="B22" s="361" t="s">
        <v>903</v>
      </c>
      <c r="C22" s="371">
        <f>'enrolment vs availed_PY'!G24+'enrolment vs availed_UPY'!G24</f>
        <v>85312</v>
      </c>
      <c r="D22" s="370">
        <f t="shared" si="0"/>
        <v>82355</v>
      </c>
      <c r="E22" s="371">
        <v>2957</v>
      </c>
      <c r="F22" s="372">
        <v>0</v>
      </c>
      <c r="G22" s="372">
        <v>0</v>
      </c>
    </row>
    <row r="23" spans="1:7" s="194" customFormat="1" ht="15" x14ac:dyDescent="0.25">
      <c r="A23" s="200">
        <v>15</v>
      </c>
      <c r="B23" s="361" t="s">
        <v>904</v>
      </c>
      <c r="C23" s="371">
        <f>'enrolment vs availed_PY'!G25+'enrolment vs availed_UPY'!G25</f>
        <v>120639</v>
      </c>
      <c r="D23" s="370">
        <f t="shared" si="0"/>
        <v>120425</v>
      </c>
      <c r="E23" s="371">
        <v>214</v>
      </c>
      <c r="F23" s="372">
        <v>0</v>
      </c>
      <c r="G23" s="372">
        <v>0</v>
      </c>
    </row>
    <row r="24" spans="1:7" s="194" customFormat="1" ht="15" x14ac:dyDescent="0.25">
      <c r="A24" s="200">
        <v>16</v>
      </c>
      <c r="B24" s="361" t="s">
        <v>905</v>
      </c>
      <c r="C24" s="371">
        <f>'enrolment vs availed_PY'!G26+'enrolment vs availed_UPY'!G26</f>
        <v>84052</v>
      </c>
      <c r="D24" s="370">
        <f t="shared" si="0"/>
        <v>83641</v>
      </c>
      <c r="E24" s="371">
        <v>411</v>
      </c>
      <c r="F24" s="372">
        <v>0</v>
      </c>
      <c r="G24" s="372">
        <v>0</v>
      </c>
    </row>
    <row r="25" spans="1:7" s="194" customFormat="1" ht="15" x14ac:dyDescent="0.25">
      <c r="A25" s="200">
        <v>17</v>
      </c>
      <c r="B25" s="361" t="s">
        <v>906</v>
      </c>
      <c r="C25" s="371">
        <f>'enrolment vs availed_PY'!G27+'enrolment vs availed_UPY'!G27</f>
        <v>121040</v>
      </c>
      <c r="D25" s="370">
        <f t="shared" si="0"/>
        <v>118493</v>
      </c>
      <c r="E25" s="371">
        <v>2547</v>
      </c>
      <c r="F25" s="372">
        <v>0</v>
      </c>
      <c r="G25" s="372">
        <v>0</v>
      </c>
    </row>
    <row r="26" spans="1:7" s="194" customFormat="1" ht="15" x14ac:dyDescent="0.25">
      <c r="A26" s="200">
        <v>18</v>
      </c>
      <c r="B26" s="361" t="s">
        <v>907</v>
      </c>
      <c r="C26" s="371">
        <f>'enrolment vs availed_PY'!G28+'enrolment vs availed_UPY'!G28</f>
        <v>68350</v>
      </c>
      <c r="D26" s="370">
        <f t="shared" si="0"/>
        <v>67246</v>
      </c>
      <c r="E26" s="371">
        <v>1104</v>
      </c>
      <c r="F26" s="372">
        <v>0</v>
      </c>
      <c r="G26" s="372">
        <v>0</v>
      </c>
    </row>
    <row r="27" spans="1:7" s="194" customFormat="1" ht="15" x14ac:dyDescent="0.25">
      <c r="A27" s="200">
        <v>19</v>
      </c>
      <c r="B27" s="361" t="s">
        <v>908</v>
      </c>
      <c r="C27" s="371">
        <f>'enrolment vs availed_PY'!G29+'enrolment vs availed_UPY'!G29</f>
        <v>128817</v>
      </c>
      <c r="D27" s="370">
        <f t="shared" si="0"/>
        <v>128806</v>
      </c>
      <c r="E27" s="371">
        <v>11</v>
      </c>
      <c r="F27" s="372">
        <v>0</v>
      </c>
      <c r="G27" s="372">
        <v>0</v>
      </c>
    </row>
    <row r="28" spans="1:7" s="194" customFormat="1" ht="15" x14ac:dyDescent="0.25">
      <c r="A28" s="200">
        <v>20</v>
      </c>
      <c r="B28" s="361" t="s">
        <v>909</v>
      </c>
      <c r="C28" s="371">
        <f>'enrolment vs availed_PY'!G30+'enrolment vs availed_UPY'!G30</f>
        <v>103639</v>
      </c>
      <c r="D28" s="370">
        <f t="shared" si="0"/>
        <v>103639</v>
      </c>
      <c r="E28" s="371">
        <v>0</v>
      </c>
      <c r="F28" s="372">
        <v>0</v>
      </c>
      <c r="G28" s="372">
        <v>0</v>
      </c>
    </row>
    <row r="29" spans="1:7" s="194" customFormat="1" ht="15" x14ac:dyDescent="0.25">
      <c r="A29" s="200">
        <v>21</v>
      </c>
      <c r="B29" s="361" t="s">
        <v>910</v>
      </c>
      <c r="C29" s="371">
        <f>'enrolment vs availed_PY'!G31+'enrolment vs availed_UPY'!G31</f>
        <v>22401</v>
      </c>
      <c r="D29" s="370">
        <f t="shared" si="0"/>
        <v>21003</v>
      </c>
      <c r="E29" s="371">
        <v>1398</v>
      </c>
      <c r="F29" s="372">
        <v>0</v>
      </c>
      <c r="G29" s="372">
        <v>0</v>
      </c>
    </row>
    <row r="30" spans="1:7" s="194" customFormat="1" ht="15" x14ac:dyDescent="0.25">
      <c r="A30" s="200">
        <v>22</v>
      </c>
      <c r="B30" s="361" t="s">
        <v>911</v>
      </c>
      <c r="C30" s="371">
        <f>'enrolment vs availed_PY'!G32+'enrolment vs availed_UPY'!G32</f>
        <v>141204</v>
      </c>
      <c r="D30" s="370">
        <f t="shared" si="0"/>
        <v>140950</v>
      </c>
      <c r="E30" s="371">
        <v>254</v>
      </c>
      <c r="F30" s="372">
        <v>0</v>
      </c>
      <c r="G30" s="372">
        <v>0</v>
      </c>
    </row>
    <row r="31" spans="1:7" s="194" customFormat="1" ht="15" x14ac:dyDescent="0.25">
      <c r="A31" s="200">
        <v>23</v>
      </c>
      <c r="B31" s="361" t="s">
        <v>912</v>
      </c>
      <c r="C31" s="371">
        <f>'enrolment vs availed_PY'!G33+'enrolment vs availed_UPY'!G33</f>
        <v>169256</v>
      </c>
      <c r="D31" s="370">
        <f t="shared" si="0"/>
        <v>165055</v>
      </c>
      <c r="E31" s="371">
        <v>4201</v>
      </c>
      <c r="F31" s="372">
        <v>0</v>
      </c>
      <c r="G31" s="372">
        <v>0</v>
      </c>
    </row>
    <row r="32" spans="1:7" s="194" customFormat="1" ht="15" x14ac:dyDescent="0.25">
      <c r="A32" s="200">
        <v>24</v>
      </c>
      <c r="B32" s="361" t="s">
        <v>913</v>
      </c>
      <c r="C32" s="371">
        <f>'enrolment vs availed_PY'!G34+'enrolment vs availed_UPY'!G34</f>
        <v>180808</v>
      </c>
      <c r="D32" s="370">
        <f t="shared" si="0"/>
        <v>180808</v>
      </c>
      <c r="E32" s="371">
        <v>0</v>
      </c>
      <c r="F32" s="372">
        <v>0</v>
      </c>
      <c r="G32" s="372">
        <v>0</v>
      </c>
    </row>
    <row r="33" spans="1:8" s="194" customFormat="1" ht="15" x14ac:dyDescent="0.25">
      <c r="A33" s="200">
        <v>25</v>
      </c>
      <c r="B33" s="361" t="s">
        <v>919</v>
      </c>
      <c r="C33" s="371">
        <f>'enrolment vs availed_PY'!G35+'enrolment vs availed_UPY'!G35</f>
        <v>91832</v>
      </c>
      <c r="D33" s="370">
        <f t="shared" si="0"/>
        <v>91811</v>
      </c>
      <c r="E33" s="371">
        <v>21</v>
      </c>
      <c r="F33" s="372">
        <v>0</v>
      </c>
      <c r="G33" s="372">
        <v>0</v>
      </c>
    </row>
    <row r="34" spans="1:8" s="194" customFormat="1" ht="15" x14ac:dyDescent="0.25">
      <c r="A34" s="200">
        <v>26</v>
      </c>
      <c r="B34" s="361" t="s">
        <v>914</v>
      </c>
      <c r="C34" s="371">
        <f>'enrolment vs availed_PY'!G36+'enrolment vs availed_UPY'!G36</f>
        <v>38181</v>
      </c>
      <c r="D34" s="370">
        <f t="shared" si="0"/>
        <v>36903</v>
      </c>
      <c r="E34" s="371">
        <v>1278</v>
      </c>
      <c r="F34" s="372">
        <v>0</v>
      </c>
      <c r="G34" s="372">
        <v>0</v>
      </c>
    </row>
    <row r="35" spans="1:8" s="194" customFormat="1" ht="15" x14ac:dyDescent="0.25">
      <c r="A35" s="200">
        <v>27</v>
      </c>
      <c r="B35" s="362" t="s">
        <v>915</v>
      </c>
      <c r="C35" s="371">
        <f>'enrolment vs availed_PY'!G37+'enrolment vs availed_UPY'!G37</f>
        <v>97638</v>
      </c>
      <c r="D35" s="370">
        <f t="shared" si="0"/>
        <v>97427</v>
      </c>
      <c r="E35" s="371">
        <v>211</v>
      </c>
      <c r="F35" s="372">
        <v>0</v>
      </c>
      <c r="G35" s="372">
        <v>0</v>
      </c>
    </row>
    <row r="36" spans="1:8" x14ac:dyDescent="0.2">
      <c r="A36" s="3" t="s">
        <v>18</v>
      </c>
      <c r="B36" s="9"/>
      <c r="C36" s="201">
        <f>SUM(C9:C35)</f>
        <v>2909916</v>
      </c>
      <c r="D36" s="201">
        <f>SUM(D9:D35)</f>
        <v>2867728</v>
      </c>
      <c r="E36" s="351">
        <f>SUM(E9:E35)</f>
        <v>42188</v>
      </c>
      <c r="F36" s="351">
        <f>SUM(F9:F35)</f>
        <v>0</v>
      </c>
      <c r="G36" s="351">
        <f>SUM(G9:G35)</f>
        <v>0</v>
      </c>
    </row>
    <row r="40" spans="1:8" s="488" customFormat="1" ht="15" customHeight="1" x14ac:dyDescent="0.2">
      <c r="A40" s="290"/>
      <c r="B40" s="290"/>
      <c r="C40" s="290"/>
      <c r="D40" s="290"/>
      <c r="E40" s="635"/>
      <c r="F40" s="635"/>
      <c r="G40" s="568"/>
    </row>
    <row r="41" spans="1:8" s="488" customFormat="1" ht="15" customHeight="1" x14ac:dyDescent="0.2">
      <c r="A41" s="290"/>
      <c r="B41" s="290"/>
      <c r="C41" s="810" t="s">
        <v>13</v>
      </c>
      <c r="D41" s="810"/>
      <c r="E41" s="810"/>
      <c r="F41" s="810"/>
      <c r="G41" s="810"/>
    </row>
    <row r="42" spans="1:8" s="488" customFormat="1" ht="15" customHeight="1" x14ac:dyDescent="0.2">
      <c r="A42" s="290"/>
      <c r="B42" s="290"/>
      <c r="C42" s="810" t="s">
        <v>14</v>
      </c>
      <c r="D42" s="810"/>
      <c r="E42" s="810"/>
      <c r="F42" s="810"/>
      <c r="G42" s="810"/>
    </row>
    <row r="43" spans="1:8" s="488" customFormat="1" x14ac:dyDescent="0.2">
      <c r="A43" s="290"/>
      <c r="C43" s="810" t="s">
        <v>918</v>
      </c>
      <c r="D43" s="810"/>
      <c r="E43" s="810"/>
      <c r="F43" s="810"/>
      <c r="G43" s="810"/>
    </row>
    <row r="44" spans="1:8" ht="15" x14ac:dyDescent="0.25">
      <c r="A44" s="492" t="s">
        <v>12</v>
      </c>
      <c r="B44" s="290"/>
      <c r="D44" s="207" t="s">
        <v>82</v>
      </c>
      <c r="E44" s="207"/>
      <c r="F44" s="207"/>
      <c r="G44" s="207"/>
      <c r="H44" s="290"/>
    </row>
  </sheetData>
  <mergeCells count="7">
    <mergeCell ref="C42:G42"/>
    <mergeCell ref="C43:G43"/>
    <mergeCell ref="A1:E1"/>
    <mergeCell ref="A2:F2"/>
    <mergeCell ref="A4:F4"/>
    <mergeCell ref="F6:G6"/>
    <mergeCell ref="C41:G4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N52"/>
  <sheetViews>
    <sheetView topLeftCell="A16" zoomScaleSheetLayoutView="90" workbookViewId="0">
      <selection activeCell="D25" sqref="D25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5.140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4" customFormat="1" x14ac:dyDescent="0.2">
      <c r="E1" s="870"/>
      <c r="F1" s="870"/>
      <c r="G1" s="870"/>
      <c r="H1" s="870"/>
      <c r="I1" s="870"/>
      <c r="J1" s="130" t="s">
        <v>60</v>
      </c>
    </row>
    <row r="2" spans="1:14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4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4" customFormat="1" ht="14.25" customHeight="1" x14ac:dyDescent="0.2"/>
    <row r="5" spans="1:14" ht="31.5" customHeight="1" x14ac:dyDescent="0.25">
      <c r="A5" s="933" t="s">
        <v>796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 x14ac:dyDescent="0.2"/>
    <row r="8" spans="1:14" ht="15" x14ac:dyDescent="0.3">
      <c r="A8" s="197" t="s">
        <v>917</v>
      </c>
      <c r="B8" s="197" t="s">
        <v>916</v>
      </c>
      <c r="C8" s="32"/>
      <c r="H8" s="925" t="s">
        <v>1186</v>
      </c>
      <c r="I8" s="925"/>
      <c r="J8" s="925"/>
    </row>
    <row r="9" spans="1:14" x14ac:dyDescent="0.2">
      <c r="A9" s="824" t="s">
        <v>2</v>
      </c>
      <c r="B9" s="824" t="s">
        <v>3</v>
      </c>
      <c r="C9" s="818" t="s">
        <v>797</v>
      </c>
      <c r="D9" s="825"/>
      <c r="E9" s="825"/>
      <c r="F9" s="819"/>
      <c r="G9" s="818" t="s">
        <v>101</v>
      </c>
      <c r="H9" s="825"/>
      <c r="I9" s="825"/>
      <c r="J9" s="819"/>
      <c r="N9" s="22"/>
    </row>
    <row r="10" spans="1:14" ht="64.5" customHeight="1" x14ac:dyDescent="0.2">
      <c r="A10" s="824"/>
      <c r="B10" s="824"/>
      <c r="C10" s="5" t="s">
        <v>181</v>
      </c>
      <c r="D10" s="5" t="s">
        <v>16</v>
      </c>
      <c r="E10" s="7" t="s">
        <v>818</v>
      </c>
      <c r="F10" s="7" t="s">
        <v>198</v>
      </c>
      <c r="G10" s="5" t="s">
        <v>181</v>
      </c>
      <c r="H10" s="26" t="s">
        <v>17</v>
      </c>
      <c r="I10" s="102" t="s">
        <v>708</v>
      </c>
      <c r="J10" s="5" t="s">
        <v>709</v>
      </c>
    </row>
    <row r="11" spans="1:14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4" x14ac:dyDescent="0.2">
      <c r="A12" s="18">
        <v>1</v>
      </c>
      <c r="B12" s="361" t="s">
        <v>890</v>
      </c>
      <c r="C12" s="373">
        <v>826</v>
      </c>
      <c r="D12" s="367">
        <v>49042</v>
      </c>
      <c r="E12" s="367">
        <v>240</v>
      </c>
      <c r="F12" s="376">
        <f>D12*E12</f>
        <v>11770080</v>
      </c>
      <c r="G12" s="367">
        <f>'AT-3'!C9</f>
        <v>826</v>
      </c>
      <c r="H12" s="375">
        <f>'enrolment vs availed_PY'!Q11</f>
        <v>10621231</v>
      </c>
      <c r="I12" s="375">
        <v>224</v>
      </c>
      <c r="J12" s="375">
        <f>ROUND(H12/I12,0)</f>
        <v>47416</v>
      </c>
    </row>
    <row r="13" spans="1:14" x14ac:dyDescent="0.2">
      <c r="A13" s="18">
        <v>2</v>
      </c>
      <c r="B13" s="361" t="s">
        <v>891</v>
      </c>
      <c r="C13" s="373">
        <v>1192</v>
      </c>
      <c r="D13" s="367">
        <v>103342</v>
      </c>
      <c r="E13" s="367">
        <v>240</v>
      </c>
      <c r="F13" s="376">
        <f t="shared" ref="F13:F38" si="0">D13*E13</f>
        <v>24802080</v>
      </c>
      <c r="G13" s="367">
        <f>'AT-3'!C10</f>
        <v>1192</v>
      </c>
      <c r="H13" s="375">
        <f>'enrolment vs availed_PY'!Q12</f>
        <v>20911987</v>
      </c>
      <c r="I13" s="375">
        <v>223</v>
      </c>
      <c r="J13" s="375">
        <f t="shared" ref="J13:J38" si="1">ROUND(H13/I13,0)</f>
        <v>93776</v>
      </c>
    </row>
    <row r="14" spans="1:14" x14ac:dyDescent="0.2">
      <c r="A14" s="18">
        <v>3</v>
      </c>
      <c r="B14" s="361" t="s">
        <v>892</v>
      </c>
      <c r="C14" s="373">
        <v>1395</v>
      </c>
      <c r="D14" s="367">
        <v>67368</v>
      </c>
      <c r="E14" s="367">
        <v>240</v>
      </c>
      <c r="F14" s="376">
        <f t="shared" si="0"/>
        <v>16168320</v>
      </c>
      <c r="G14" s="367">
        <f>'AT-3'!C11</f>
        <v>1393</v>
      </c>
      <c r="H14" s="375">
        <f>'enrolment vs availed_PY'!Q13</f>
        <v>13628850</v>
      </c>
      <c r="I14" s="375">
        <v>220</v>
      </c>
      <c r="J14" s="375">
        <f t="shared" si="1"/>
        <v>61949</v>
      </c>
    </row>
    <row r="15" spans="1:14" x14ac:dyDescent="0.2">
      <c r="A15" s="18">
        <v>4</v>
      </c>
      <c r="B15" s="361" t="s">
        <v>893</v>
      </c>
      <c r="C15" s="373">
        <v>1545</v>
      </c>
      <c r="D15" s="367">
        <v>63361</v>
      </c>
      <c r="E15" s="367">
        <v>240</v>
      </c>
      <c r="F15" s="376">
        <f t="shared" si="0"/>
        <v>15206640</v>
      </c>
      <c r="G15" s="367">
        <f>'AT-3'!C12</f>
        <v>1545</v>
      </c>
      <c r="H15" s="375">
        <f>'enrolment vs availed_PY'!Q14</f>
        <v>13190583</v>
      </c>
      <c r="I15" s="375">
        <v>225</v>
      </c>
      <c r="J15" s="375">
        <f t="shared" si="1"/>
        <v>58625</v>
      </c>
    </row>
    <row r="16" spans="1:14" x14ac:dyDescent="0.2">
      <c r="A16" s="18">
        <v>5</v>
      </c>
      <c r="B16" s="361" t="s">
        <v>894</v>
      </c>
      <c r="C16" s="373">
        <v>745</v>
      </c>
      <c r="D16" s="367">
        <v>67947</v>
      </c>
      <c r="E16" s="367">
        <v>240</v>
      </c>
      <c r="F16" s="376">
        <f t="shared" si="0"/>
        <v>16307280</v>
      </c>
      <c r="G16" s="367">
        <f>'AT-3'!C13</f>
        <v>745</v>
      </c>
      <c r="H16" s="375">
        <f>'enrolment vs availed_PY'!Q15</f>
        <v>13546256</v>
      </c>
      <c r="I16" s="375">
        <v>223</v>
      </c>
      <c r="J16" s="375">
        <f t="shared" si="1"/>
        <v>60746</v>
      </c>
    </row>
    <row r="17" spans="1:10" x14ac:dyDescent="0.2">
      <c r="A17" s="18">
        <v>6</v>
      </c>
      <c r="B17" s="361" t="s">
        <v>895</v>
      </c>
      <c r="C17" s="373">
        <v>680</v>
      </c>
      <c r="D17" s="367">
        <v>27484</v>
      </c>
      <c r="E17" s="367">
        <v>240</v>
      </c>
      <c r="F17" s="376">
        <f t="shared" si="0"/>
        <v>6596160</v>
      </c>
      <c r="G17" s="367">
        <f>'AT-3'!C14</f>
        <v>693</v>
      </c>
      <c r="H17" s="375">
        <f>'enrolment vs availed_PY'!Q16</f>
        <v>5650196</v>
      </c>
      <c r="I17" s="375">
        <v>192</v>
      </c>
      <c r="J17" s="375">
        <f t="shared" si="1"/>
        <v>29428</v>
      </c>
    </row>
    <row r="18" spans="1:10" x14ac:dyDescent="0.2">
      <c r="A18" s="18">
        <v>7</v>
      </c>
      <c r="B18" s="361" t="s">
        <v>896</v>
      </c>
      <c r="C18" s="373">
        <v>1718</v>
      </c>
      <c r="D18" s="367">
        <v>135600</v>
      </c>
      <c r="E18" s="367">
        <v>240</v>
      </c>
      <c r="F18" s="376">
        <f t="shared" si="0"/>
        <v>32544000</v>
      </c>
      <c r="G18" s="367">
        <f>'AT-3'!C15</f>
        <v>1714</v>
      </c>
      <c r="H18" s="375">
        <f>'enrolment vs availed_PY'!Q17</f>
        <v>26542227</v>
      </c>
      <c r="I18" s="375">
        <v>221</v>
      </c>
      <c r="J18" s="375">
        <f t="shared" si="1"/>
        <v>120101</v>
      </c>
    </row>
    <row r="19" spans="1:10" x14ac:dyDescent="0.2">
      <c r="A19" s="18">
        <v>8</v>
      </c>
      <c r="B19" s="361" t="s">
        <v>897</v>
      </c>
      <c r="C19" s="373">
        <v>647</v>
      </c>
      <c r="D19" s="367">
        <v>25263</v>
      </c>
      <c r="E19" s="367">
        <v>240</v>
      </c>
      <c r="F19" s="376">
        <f t="shared" si="0"/>
        <v>6063120</v>
      </c>
      <c r="G19" s="367">
        <f>'AT-3'!C16</f>
        <v>647</v>
      </c>
      <c r="H19" s="375">
        <f>'enrolment vs availed_PY'!Q18</f>
        <v>5249435</v>
      </c>
      <c r="I19" s="375">
        <v>224</v>
      </c>
      <c r="J19" s="375">
        <f t="shared" si="1"/>
        <v>23435</v>
      </c>
    </row>
    <row r="20" spans="1:10" x14ac:dyDescent="0.2">
      <c r="A20" s="18">
        <v>9</v>
      </c>
      <c r="B20" s="361" t="s">
        <v>898</v>
      </c>
      <c r="C20" s="373">
        <v>884</v>
      </c>
      <c r="D20" s="367">
        <v>47209</v>
      </c>
      <c r="E20" s="367">
        <v>240</v>
      </c>
      <c r="F20" s="376">
        <f t="shared" si="0"/>
        <v>11330160</v>
      </c>
      <c r="G20" s="367">
        <f>'AT-3'!C17</f>
        <v>884</v>
      </c>
      <c r="H20" s="375">
        <f>'enrolment vs availed_PY'!Q19</f>
        <v>9865975</v>
      </c>
      <c r="I20" s="375">
        <v>227</v>
      </c>
      <c r="J20" s="375">
        <f t="shared" si="1"/>
        <v>43462</v>
      </c>
    </row>
    <row r="21" spans="1:10" x14ac:dyDescent="0.2">
      <c r="A21" s="18">
        <v>10</v>
      </c>
      <c r="B21" s="361" t="s">
        <v>899</v>
      </c>
      <c r="C21" s="373">
        <v>609</v>
      </c>
      <c r="D21" s="367">
        <v>58156</v>
      </c>
      <c r="E21" s="367">
        <v>240</v>
      </c>
      <c r="F21" s="376">
        <f t="shared" si="0"/>
        <v>13957440</v>
      </c>
      <c r="G21" s="367">
        <f>'AT-3'!C18</f>
        <v>612</v>
      </c>
      <c r="H21" s="375">
        <f>'enrolment vs availed_PY'!Q20</f>
        <v>12280469</v>
      </c>
      <c r="I21" s="375">
        <v>225</v>
      </c>
      <c r="J21" s="375">
        <f t="shared" si="1"/>
        <v>54580</v>
      </c>
    </row>
    <row r="22" spans="1:10" x14ac:dyDescent="0.2">
      <c r="A22" s="18">
        <v>11</v>
      </c>
      <c r="B22" s="361" t="s">
        <v>900</v>
      </c>
      <c r="C22" s="373">
        <v>982</v>
      </c>
      <c r="D22" s="367">
        <v>45778</v>
      </c>
      <c r="E22" s="367">
        <v>240</v>
      </c>
      <c r="F22" s="376">
        <f t="shared" si="0"/>
        <v>10986720</v>
      </c>
      <c r="G22" s="367">
        <f>'AT-3'!C19</f>
        <v>982</v>
      </c>
      <c r="H22" s="375">
        <f>'enrolment vs availed_PY'!Q21</f>
        <v>10403953</v>
      </c>
      <c r="I22" s="375">
        <v>225</v>
      </c>
      <c r="J22" s="375">
        <f t="shared" si="1"/>
        <v>46240</v>
      </c>
    </row>
    <row r="23" spans="1:10" x14ac:dyDescent="0.2">
      <c r="A23" s="18">
        <v>12</v>
      </c>
      <c r="B23" s="361" t="s">
        <v>901</v>
      </c>
      <c r="C23" s="373">
        <v>1552</v>
      </c>
      <c r="D23" s="367">
        <v>101215</v>
      </c>
      <c r="E23" s="367">
        <v>240</v>
      </c>
      <c r="F23" s="376">
        <f t="shared" si="0"/>
        <v>24291600</v>
      </c>
      <c r="G23" s="367">
        <f>'AT-3'!C20</f>
        <v>1553</v>
      </c>
      <c r="H23" s="375">
        <f>'enrolment vs availed_PY'!Q22</f>
        <v>19390126</v>
      </c>
      <c r="I23" s="375">
        <v>220</v>
      </c>
      <c r="J23" s="375">
        <f t="shared" si="1"/>
        <v>88137</v>
      </c>
    </row>
    <row r="24" spans="1:10" x14ac:dyDescent="0.2">
      <c r="A24" s="18">
        <v>13</v>
      </c>
      <c r="B24" s="361" t="s">
        <v>902</v>
      </c>
      <c r="C24" s="373">
        <v>1746</v>
      </c>
      <c r="D24" s="367">
        <v>60999</v>
      </c>
      <c r="E24" s="367">
        <v>240</v>
      </c>
      <c r="F24" s="376">
        <f t="shared" si="0"/>
        <v>14639760</v>
      </c>
      <c r="G24" s="367">
        <f>'AT-3'!C21</f>
        <v>1747</v>
      </c>
      <c r="H24" s="375">
        <f>'enrolment vs availed_PY'!Q23</f>
        <v>13623848</v>
      </c>
      <c r="I24" s="375">
        <v>216</v>
      </c>
      <c r="J24" s="375">
        <f t="shared" si="1"/>
        <v>63073</v>
      </c>
    </row>
    <row r="25" spans="1:10" x14ac:dyDescent="0.2">
      <c r="A25" s="18">
        <v>14</v>
      </c>
      <c r="B25" s="361" t="s">
        <v>903</v>
      </c>
      <c r="C25" s="373">
        <v>1592</v>
      </c>
      <c r="D25" s="366">
        <v>51700</v>
      </c>
      <c r="E25" s="367">
        <v>240</v>
      </c>
      <c r="F25" s="376">
        <f t="shared" si="0"/>
        <v>12408000</v>
      </c>
      <c r="G25" s="367">
        <f>'AT-3'!C22</f>
        <v>1597</v>
      </c>
      <c r="H25" s="375">
        <f>'enrolment vs availed_PY'!Q24</f>
        <v>11612002</v>
      </c>
      <c r="I25" s="374">
        <v>227</v>
      </c>
      <c r="J25" s="375">
        <f t="shared" si="1"/>
        <v>51154</v>
      </c>
    </row>
    <row r="26" spans="1:10" x14ac:dyDescent="0.2">
      <c r="A26" s="18">
        <v>15</v>
      </c>
      <c r="B26" s="361" t="s">
        <v>904</v>
      </c>
      <c r="C26" s="373">
        <v>985</v>
      </c>
      <c r="D26" s="366">
        <v>72620</v>
      </c>
      <c r="E26" s="367">
        <v>240</v>
      </c>
      <c r="F26" s="376">
        <f t="shared" si="0"/>
        <v>17428800</v>
      </c>
      <c r="G26" s="367">
        <f>'AT-3'!C23</f>
        <v>986</v>
      </c>
      <c r="H26" s="375">
        <f>'enrolment vs availed_PY'!Q25</f>
        <v>14841696</v>
      </c>
      <c r="I26" s="374">
        <v>220</v>
      </c>
      <c r="J26" s="375">
        <f t="shared" si="1"/>
        <v>67462</v>
      </c>
    </row>
    <row r="27" spans="1:10" x14ac:dyDescent="0.2">
      <c r="A27" s="18">
        <v>16</v>
      </c>
      <c r="B27" s="361" t="s">
        <v>905</v>
      </c>
      <c r="C27" s="373">
        <v>1229</v>
      </c>
      <c r="D27" s="366">
        <v>48943</v>
      </c>
      <c r="E27" s="367">
        <v>240</v>
      </c>
      <c r="F27" s="376">
        <f t="shared" si="0"/>
        <v>11746320</v>
      </c>
      <c r="G27" s="367">
        <f>'AT-3'!C24</f>
        <v>1229</v>
      </c>
      <c r="H27" s="375">
        <f>'enrolment vs availed_PY'!Q26</f>
        <v>10894742</v>
      </c>
      <c r="I27" s="374">
        <v>225</v>
      </c>
      <c r="J27" s="375">
        <f t="shared" si="1"/>
        <v>48421</v>
      </c>
    </row>
    <row r="28" spans="1:10" x14ac:dyDescent="0.2">
      <c r="A28" s="18">
        <v>17</v>
      </c>
      <c r="B28" s="361" t="s">
        <v>906</v>
      </c>
      <c r="C28" s="373">
        <v>1495</v>
      </c>
      <c r="D28" s="366">
        <v>69557</v>
      </c>
      <c r="E28" s="367">
        <v>240</v>
      </c>
      <c r="F28" s="376">
        <f t="shared" si="0"/>
        <v>16693680</v>
      </c>
      <c r="G28" s="367">
        <f>'AT-3'!C25</f>
        <v>1494</v>
      </c>
      <c r="H28" s="375">
        <f>'enrolment vs availed_PY'!Q27</f>
        <v>14845880</v>
      </c>
      <c r="I28" s="374">
        <v>224</v>
      </c>
      <c r="J28" s="375">
        <f t="shared" si="1"/>
        <v>66276</v>
      </c>
    </row>
    <row r="29" spans="1:10" x14ac:dyDescent="0.2">
      <c r="A29" s="18">
        <v>18</v>
      </c>
      <c r="B29" s="361" t="s">
        <v>907</v>
      </c>
      <c r="C29" s="373">
        <v>966</v>
      </c>
      <c r="D29" s="366">
        <v>38993</v>
      </c>
      <c r="E29" s="367">
        <v>240</v>
      </c>
      <c r="F29" s="376">
        <f t="shared" si="0"/>
        <v>9358320</v>
      </c>
      <c r="G29" s="367">
        <f>'AT-3'!C26</f>
        <v>967</v>
      </c>
      <c r="H29" s="375">
        <f>'enrolment vs availed_PY'!Q28</f>
        <v>7843880</v>
      </c>
      <c r="I29" s="374">
        <v>219</v>
      </c>
      <c r="J29" s="375">
        <f t="shared" si="1"/>
        <v>35817</v>
      </c>
    </row>
    <row r="30" spans="1:10" x14ac:dyDescent="0.2">
      <c r="A30" s="18">
        <v>19</v>
      </c>
      <c r="B30" s="361" t="s">
        <v>908</v>
      </c>
      <c r="C30" s="373">
        <v>1307</v>
      </c>
      <c r="D30" s="366">
        <v>74017</v>
      </c>
      <c r="E30" s="367">
        <v>240</v>
      </c>
      <c r="F30" s="376">
        <f t="shared" si="0"/>
        <v>17764080</v>
      </c>
      <c r="G30" s="367">
        <f>'AT-3'!C27</f>
        <v>1307</v>
      </c>
      <c r="H30" s="375">
        <f>'enrolment vs availed_PY'!Q29</f>
        <v>15322906</v>
      </c>
      <c r="I30" s="374">
        <v>227</v>
      </c>
      <c r="J30" s="375">
        <f t="shared" si="1"/>
        <v>67502</v>
      </c>
    </row>
    <row r="31" spans="1:10" x14ac:dyDescent="0.2">
      <c r="A31" s="18">
        <v>20</v>
      </c>
      <c r="B31" s="361" t="s">
        <v>909</v>
      </c>
      <c r="C31" s="373">
        <v>666</v>
      </c>
      <c r="D31" s="366">
        <v>62905</v>
      </c>
      <c r="E31" s="367">
        <v>240</v>
      </c>
      <c r="F31" s="376">
        <f t="shared" si="0"/>
        <v>15097200</v>
      </c>
      <c r="G31" s="367">
        <f>'AT-3'!C28</f>
        <v>666</v>
      </c>
      <c r="H31" s="375">
        <f>'enrolment vs availed_PY'!Q30</f>
        <v>12473019</v>
      </c>
      <c r="I31" s="374">
        <v>221</v>
      </c>
      <c r="J31" s="375">
        <f t="shared" si="1"/>
        <v>56439</v>
      </c>
    </row>
    <row r="32" spans="1:10" x14ac:dyDescent="0.2">
      <c r="A32" s="18">
        <v>21</v>
      </c>
      <c r="B32" s="361" t="s">
        <v>910</v>
      </c>
      <c r="C32" s="373">
        <v>424</v>
      </c>
      <c r="D32" s="366">
        <v>14868</v>
      </c>
      <c r="E32" s="367">
        <v>240</v>
      </c>
      <c r="F32" s="376">
        <f t="shared" si="0"/>
        <v>3568320</v>
      </c>
      <c r="G32" s="367">
        <f>'AT-3'!C29</f>
        <v>422</v>
      </c>
      <c r="H32" s="375">
        <f>'enrolment vs availed_PY'!Q31</f>
        <v>3103172</v>
      </c>
      <c r="I32" s="374">
        <v>223</v>
      </c>
      <c r="J32" s="375">
        <f t="shared" si="1"/>
        <v>13916</v>
      </c>
    </row>
    <row r="33" spans="1:10" x14ac:dyDescent="0.2">
      <c r="A33" s="18">
        <v>22</v>
      </c>
      <c r="B33" s="361" t="s">
        <v>911</v>
      </c>
      <c r="C33" s="373">
        <v>1985</v>
      </c>
      <c r="D33" s="366">
        <v>78355</v>
      </c>
      <c r="E33" s="367">
        <v>240</v>
      </c>
      <c r="F33" s="376">
        <f t="shared" si="0"/>
        <v>18805200</v>
      </c>
      <c r="G33" s="367">
        <f>'AT-3'!C30</f>
        <v>1986</v>
      </c>
      <c r="H33" s="375">
        <f>'enrolment vs availed_PY'!Q32</f>
        <v>16207749</v>
      </c>
      <c r="I33" s="374">
        <v>220</v>
      </c>
      <c r="J33" s="375">
        <f t="shared" si="1"/>
        <v>73672</v>
      </c>
    </row>
    <row r="34" spans="1:10" x14ac:dyDescent="0.2">
      <c r="A34" s="18">
        <v>23</v>
      </c>
      <c r="B34" s="361" t="s">
        <v>912</v>
      </c>
      <c r="C34" s="373">
        <v>799</v>
      </c>
      <c r="D34" s="366">
        <v>94332</v>
      </c>
      <c r="E34" s="367">
        <v>240</v>
      </c>
      <c r="F34" s="376">
        <f t="shared" si="0"/>
        <v>22639680</v>
      </c>
      <c r="G34" s="367">
        <f>'AT-3'!C31</f>
        <v>797</v>
      </c>
      <c r="H34" s="375">
        <f>'enrolment vs availed_PY'!Q33</f>
        <v>19536499</v>
      </c>
      <c r="I34" s="374">
        <v>225</v>
      </c>
      <c r="J34" s="375">
        <f t="shared" si="1"/>
        <v>86829</v>
      </c>
    </row>
    <row r="35" spans="1:10" x14ac:dyDescent="0.2">
      <c r="A35" s="18">
        <v>24</v>
      </c>
      <c r="B35" s="361" t="s">
        <v>913</v>
      </c>
      <c r="C35" s="373">
        <v>1862</v>
      </c>
      <c r="D35" s="366">
        <v>103796</v>
      </c>
      <c r="E35" s="367">
        <v>240</v>
      </c>
      <c r="F35" s="376">
        <f t="shared" si="0"/>
        <v>24911040</v>
      </c>
      <c r="G35" s="367">
        <f>'AT-3'!C32</f>
        <v>1860</v>
      </c>
      <c r="H35" s="375">
        <f>'enrolment vs availed_PY'!Q34</f>
        <v>22705549</v>
      </c>
      <c r="I35" s="374">
        <v>225</v>
      </c>
      <c r="J35" s="375">
        <f t="shared" si="1"/>
        <v>100914</v>
      </c>
    </row>
    <row r="36" spans="1:10" x14ac:dyDescent="0.2">
      <c r="A36" s="18">
        <v>25</v>
      </c>
      <c r="B36" s="361" t="s">
        <v>919</v>
      </c>
      <c r="C36" s="373">
        <v>1360</v>
      </c>
      <c r="D36" s="366">
        <v>54657</v>
      </c>
      <c r="E36" s="367">
        <v>240</v>
      </c>
      <c r="F36" s="376">
        <f t="shared" si="0"/>
        <v>13117680</v>
      </c>
      <c r="G36" s="367">
        <f>'AT-3'!C33</f>
        <v>1353</v>
      </c>
      <c r="H36" s="375">
        <f>'enrolment vs availed_PY'!Q35</f>
        <v>10874434</v>
      </c>
      <c r="I36" s="374">
        <v>221</v>
      </c>
      <c r="J36" s="375">
        <f t="shared" si="1"/>
        <v>49206</v>
      </c>
    </row>
    <row r="37" spans="1:10" x14ac:dyDescent="0.2">
      <c r="A37" s="18">
        <v>26</v>
      </c>
      <c r="B37" s="361" t="s">
        <v>914</v>
      </c>
      <c r="C37" s="373">
        <v>766</v>
      </c>
      <c r="D37" s="366">
        <v>24668</v>
      </c>
      <c r="E37" s="367">
        <v>240</v>
      </c>
      <c r="F37" s="376">
        <f t="shared" si="0"/>
        <v>5920320</v>
      </c>
      <c r="G37" s="367">
        <f>'AT-3'!C34</f>
        <v>788</v>
      </c>
      <c r="H37" s="375">
        <f>'enrolment vs availed_PY'!Q36</f>
        <v>5806835</v>
      </c>
      <c r="I37" s="374">
        <v>222</v>
      </c>
      <c r="J37" s="375">
        <f t="shared" si="1"/>
        <v>26157</v>
      </c>
    </row>
    <row r="38" spans="1:10" ht="15" x14ac:dyDescent="0.2">
      <c r="A38" s="18">
        <v>27</v>
      </c>
      <c r="B38" s="362" t="s">
        <v>915</v>
      </c>
      <c r="C38" s="373">
        <v>1412</v>
      </c>
      <c r="D38" s="366">
        <v>57825</v>
      </c>
      <c r="E38" s="367">
        <v>240</v>
      </c>
      <c r="F38" s="376">
        <f t="shared" si="0"/>
        <v>13878000</v>
      </c>
      <c r="G38" s="367">
        <f>'AT-3'!C35</f>
        <v>1412</v>
      </c>
      <c r="H38" s="375">
        <f>'enrolment vs availed_PY'!Q37</f>
        <v>11601242</v>
      </c>
      <c r="I38" s="374">
        <v>218</v>
      </c>
      <c r="J38" s="375">
        <f t="shared" si="1"/>
        <v>53217</v>
      </c>
    </row>
    <row r="39" spans="1:10" ht="15" x14ac:dyDescent="0.2">
      <c r="A39" s="3" t="s">
        <v>18</v>
      </c>
      <c r="B39" s="30"/>
      <c r="C39" s="378">
        <f>SUM(C12:C38)</f>
        <v>31369</v>
      </c>
      <c r="D39" s="378">
        <f>SUM(D12:D38)</f>
        <v>1700000</v>
      </c>
      <c r="E39" s="367">
        <v>240</v>
      </c>
      <c r="F39" s="377">
        <f>SUM(F12:F38)</f>
        <v>408000000</v>
      </c>
      <c r="G39" s="377">
        <f>SUM(G12:G38)</f>
        <v>31397</v>
      </c>
      <c r="H39" s="377">
        <f>SUM(H12:H38)</f>
        <v>352574741</v>
      </c>
      <c r="I39" s="377">
        <v>222</v>
      </c>
      <c r="J39" s="377">
        <f>SUM(J12:J38)</f>
        <v>1587950</v>
      </c>
    </row>
    <row r="40" spans="1:10" x14ac:dyDescent="0.2">
      <c r="A40" s="11"/>
      <c r="B40" s="31"/>
      <c r="C40" s="31"/>
      <c r="D40" s="22"/>
      <c r="E40" s="22"/>
      <c r="F40" s="22"/>
      <c r="G40" s="22"/>
      <c r="H40" s="22"/>
      <c r="I40" s="22"/>
      <c r="J40" s="22"/>
    </row>
    <row r="41" spans="1:10" x14ac:dyDescent="0.2">
      <c r="A41" s="940" t="s">
        <v>710</v>
      </c>
      <c r="B41" s="940"/>
      <c r="C41" s="940"/>
      <c r="D41" s="940"/>
      <c r="E41" s="940"/>
      <c r="F41" s="940"/>
      <c r="G41" s="940"/>
      <c r="H41" s="940"/>
      <c r="I41" s="22"/>
      <c r="J41" s="22"/>
    </row>
    <row r="42" spans="1:10" x14ac:dyDescent="0.2">
      <c r="A42" s="11"/>
      <c r="B42" s="31"/>
      <c r="C42" s="31"/>
      <c r="D42" s="22"/>
      <c r="E42" s="22"/>
      <c r="F42" s="22"/>
      <c r="G42" s="22"/>
      <c r="H42" s="22"/>
      <c r="I42" s="22"/>
      <c r="J42" s="22"/>
    </row>
    <row r="43" spans="1:10" s="569" customFormat="1" ht="15.75" customHeight="1" x14ac:dyDescent="0.2">
      <c r="A43" s="14"/>
      <c r="B43" s="14"/>
      <c r="C43" s="14"/>
      <c r="D43" s="14"/>
      <c r="E43" s="14"/>
      <c r="F43" s="14"/>
      <c r="G43" s="14"/>
      <c r="I43" s="563"/>
      <c r="J43" s="563"/>
    </row>
    <row r="44" spans="1:10" s="569" customFormat="1" ht="12.75" customHeight="1" x14ac:dyDescent="0.2">
      <c r="A44" s="563"/>
      <c r="B44" s="563"/>
      <c r="C44" s="563"/>
      <c r="D44" s="563"/>
      <c r="E44" s="563"/>
      <c r="F44" s="810" t="s">
        <v>13</v>
      </c>
      <c r="G44" s="810"/>
      <c r="H44" s="810"/>
      <c r="I44" s="810"/>
      <c r="J44" s="810"/>
    </row>
    <row r="45" spans="1:10" s="569" customFormat="1" ht="12.75" customHeight="1" x14ac:dyDescent="0.2">
      <c r="A45" s="563"/>
      <c r="B45" s="563"/>
      <c r="C45" s="563"/>
      <c r="D45" s="563"/>
      <c r="E45" s="563"/>
      <c r="F45" s="810" t="s">
        <v>14</v>
      </c>
      <c r="G45" s="810"/>
      <c r="H45" s="810"/>
      <c r="I45" s="810"/>
      <c r="J45" s="810"/>
    </row>
    <row r="46" spans="1:10" s="569" customFormat="1" ht="12.75" customHeight="1" x14ac:dyDescent="0.2">
      <c r="A46" s="14"/>
      <c r="B46" s="14"/>
      <c r="C46" s="14"/>
      <c r="E46" s="14"/>
      <c r="F46" s="810" t="s">
        <v>918</v>
      </c>
      <c r="G46" s="810"/>
      <c r="H46" s="810"/>
      <c r="I46" s="810"/>
      <c r="J46" s="810"/>
    </row>
    <row r="47" spans="1:10" ht="15" x14ac:dyDescent="0.25">
      <c r="A47" s="492" t="s">
        <v>12</v>
      </c>
      <c r="F47" s="207" t="s">
        <v>82</v>
      </c>
      <c r="G47" s="207"/>
      <c r="H47" s="207"/>
      <c r="I47" s="207"/>
      <c r="J47" s="207"/>
    </row>
    <row r="50" spans="1:10" x14ac:dyDescent="0.2">
      <c r="A50" s="941"/>
      <c r="B50" s="941"/>
      <c r="C50" s="941"/>
      <c r="D50" s="941"/>
      <c r="E50" s="941"/>
      <c r="F50" s="941"/>
      <c r="G50" s="941"/>
      <c r="H50" s="941"/>
      <c r="I50" s="941"/>
      <c r="J50" s="941"/>
    </row>
    <row r="52" spans="1:10" x14ac:dyDescent="0.2">
      <c r="A52" s="941"/>
      <c r="B52" s="941"/>
      <c r="C52" s="941"/>
      <c r="D52" s="941"/>
      <c r="E52" s="941"/>
      <c r="F52" s="941"/>
      <c r="G52" s="941"/>
      <c r="H52" s="941"/>
      <c r="I52" s="941"/>
      <c r="J52" s="941"/>
    </row>
  </sheetData>
  <mergeCells count="15">
    <mergeCell ref="F45:J45"/>
    <mergeCell ref="F46:J46"/>
    <mergeCell ref="A41:H41"/>
    <mergeCell ref="A52:J52"/>
    <mergeCell ref="A50:J50"/>
    <mergeCell ref="F44:J44"/>
    <mergeCell ref="E1:I1"/>
    <mergeCell ref="A2:J2"/>
    <mergeCell ref="A3:J3"/>
    <mergeCell ref="G9:J9"/>
    <mergeCell ref="C9:F9"/>
    <mergeCell ref="H8:J8"/>
    <mergeCell ref="A5:J5"/>
    <mergeCell ref="A9:A10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P52"/>
  <sheetViews>
    <sheetView topLeftCell="A25" zoomScaleSheetLayoutView="90" workbookViewId="0">
      <selection activeCell="H8" sqref="H8:J8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70"/>
      <c r="F1" s="870"/>
      <c r="G1" s="870"/>
      <c r="H1" s="870"/>
      <c r="I1" s="870"/>
      <c r="J1" s="130" t="s">
        <v>358</v>
      </c>
    </row>
    <row r="2" spans="1:16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6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6" customFormat="1" ht="14.25" customHeight="1" x14ac:dyDescent="0.2"/>
    <row r="5" spans="1:16" ht="15.75" x14ac:dyDescent="0.25">
      <c r="A5" s="933" t="s">
        <v>798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ht="15" x14ac:dyDescent="0.3">
      <c r="A8" s="197" t="s">
        <v>917</v>
      </c>
      <c r="B8" s="197" t="s">
        <v>916</v>
      </c>
      <c r="C8" s="32"/>
      <c r="H8" s="925" t="s">
        <v>1186</v>
      </c>
      <c r="I8" s="925"/>
      <c r="J8" s="925"/>
    </row>
    <row r="9" spans="1:16" x14ac:dyDescent="0.2">
      <c r="A9" s="824" t="s">
        <v>2</v>
      </c>
      <c r="B9" s="824" t="s">
        <v>3</v>
      </c>
      <c r="C9" s="818" t="s">
        <v>797</v>
      </c>
      <c r="D9" s="825"/>
      <c r="E9" s="825"/>
      <c r="F9" s="819"/>
      <c r="G9" s="818" t="s">
        <v>101</v>
      </c>
      <c r="H9" s="825"/>
      <c r="I9" s="825"/>
      <c r="J9" s="819"/>
      <c r="O9" s="19"/>
      <c r="P9" s="22"/>
    </row>
    <row r="10" spans="1:16" ht="63.75" x14ac:dyDescent="0.2">
      <c r="A10" s="824"/>
      <c r="B10" s="824"/>
      <c r="C10" s="5" t="s">
        <v>181</v>
      </c>
      <c r="D10" s="5" t="s">
        <v>16</v>
      </c>
      <c r="E10" s="240" t="s">
        <v>818</v>
      </c>
      <c r="F10" s="7" t="s">
        <v>198</v>
      </c>
      <c r="G10" s="5" t="s">
        <v>181</v>
      </c>
      <c r="H10" s="26" t="s">
        <v>17</v>
      </c>
      <c r="I10" s="102" t="s">
        <v>708</v>
      </c>
      <c r="J10" s="5" t="s">
        <v>709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6" x14ac:dyDescent="0.2">
      <c r="A12" s="18">
        <v>1</v>
      </c>
      <c r="B12" s="361" t="s">
        <v>890</v>
      </c>
      <c r="C12" s="367">
        <v>413</v>
      </c>
      <c r="D12" s="367">
        <v>33105</v>
      </c>
      <c r="E12" s="17">
        <v>240</v>
      </c>
      <c r="F12" s="376">
        <f>D12*E12</f>
        <v>7945200</v>
      </c>
      <c r="G12" s="367">
        <f>'AT-3'!D9</f>
        <v>413</v>
      </c>
      <c r="H12" s="375">
        <f>'enrolment vs availed_UPY'!Q11</f>
        <v>6972555</v>
      </c>
      <c r="I12" s="375">
        <v>232</v>
      </c>
      <c r="J12" s="353">
        <f>ROUND(H12/I12,0)</f>
        <v>30054</v>
      </c>
    </row>
    <row r="13" spans="1:16" x14ac:dyDescent="0.2">
      <c r="A13" s="18">
        <v>2</v>
      </c>
      <c r="B13" s="361" t="s">
        <v>891</v>
      </c>
      <c r="C13" s="367">
        <v>638</v>
      </c>
      <c r="D13" s="367">
        <v>70521</v>
      </c>
      <c r="E13" s="17">
        <v>240</v>
      </c>
      <c r="F13" s="376">
        <f t="shared" ref="F13:F38" si="0">D13*E13</f>
        <v>16925040</v>
      </c>
      <c r="G13" s="367">
        <f>'AT-3'!D10</f>
        <v>638</v>
      </c>
      <c r="H13" s="375">
        <f>'enrolment vs availed_UPY'!Q12</f>
        <v>13284921</v>
      </c>
      <c r="I13" s="375">
        <v>229</v>
      </c>
      <c r="J13" s="353">
        <f t="shared" ref="J13:J38" si="1">ROUND(H13/I13,0)</f>
        <v>58013</v>
      </c>
    </row>
    <row r="14" spans="1:16" x14ac:dyDescent="0.2">
      <c r="A14" s="18">
        <v>3</v>
      </c>
      <c r="B14" s="361" t="s">
        <v>892</v>
      </c>
      <c r="C14" s="367">
        <v>570</v>
      </c>
      <c r="D14" s="367">
        <v>38566</v>
      </c>
      <c r="E14" s="17">
        <v>240</v>
      </c>
      <c r="F14" s="376">
        <f t="shared" si="0"/>
        <v>9255840</v>
      </c>
      <c r="G14" s="367">
        <f>'AT-3'!D11</f>
        <v>571</v>
      </c>
      <c r="H14" s="375">
        <f>'enrolment vs availed_UPY'!Q13</f>
        <v>7219427</v>
      </c>
      <c r="I14" s="375">
        <v>225</v>
      </c>
      <c r="J14" s="353">
        <f t="shared" si="1"/>
        <v>32086</v>
      </c>
    </row>
    <row r="15" spans="1:16" x14ac:dyDescent="0.2">
      <c r="A15" s="18">
        <v>4</v>
      </c>
      <c r="B15" s="361" t="s">
        <v>893</v>
      </c>
      <c r="C15" s="367">
        <v>647</v>
      </c>
      <c r="D15" s="367">
        <v>35441</v>
      </c>
      <c r="E15" s="17">
        <v>240</v>
      </c>
      <c r="F15" s="376">
        <f t="shared" si="0"/>
        <v>8505840</v>
      </c>
      <c r="G15" s="367">
        <f>'AT-3'!D12</f>
        <v>649</v>
      </c>
      <c r="H15" s="375">
        <f>'enrolment vs availed_UPY'!Q14</f>
        <v>6666379</v>
      </c>
      <c r="I15" s="375">
        <v>230</v>
      </c>
      <c r="J15" s="353">
        <f t="shared" si="1"/>
        <v>28984</v>
      </c>
    </row>
    <row r="16" spans="1:16" x14ac:dyDescent="0.2">
      <c r="A16" s="18">
        <v>5</v>
      </c>
      <c r="B16" s="361" t="s">
        <v>894</v>
      </c>
      <c r="C16" s="367">
        <v>388</v>
      </c>
      <c r="D16" s="367">
        <v>45032</v>
      </c>
      <c r="E16" s="17">
        <v>240</v>
      </c>
      <c r="F16" s="376">
        <f t="shared" si="0"/>
        <v>10807680</v>
      </c>
      <c r="G16" s="367">
        <f>'AT-3'!D13</f>
        <v>386</v>
      </c>
      <c r="H16" s="375">
        <f>'enrolment vs availed_UPY'!Q15</f>
        <v>8679765</v>
      </c>
      <c r="I16" s="375">
        <v>229</v>
      </c>
      <c r="J16" s="353">
        <f t="shared" si="1"/>
        <v>37903</v>
      </c>
    </row>
    <row r="17" spans="1:10" x14ac:dyDescent="0.2">
      <c r="A17" s="18">
        <v>6</v>
      </c>
      <c r="B17" s="361" t="s">
        <v>895</v>
      </c>
      <c r="C17" s="367">
        <v>207</v>
      </c>
      <c r="D17" s="367">
        <v>10458</v>
      </c>
      <c r="E17" s="17">
        <v>240</v>
      </c>
      <c r="F17" s="376">
        <f t="shared" si="0"/>
        <v>2509920</v>
      </c>
      <c r="G17" s="367">
        <f>'AT-3'!D14</f>
        <v>204</v>
      </c>
      <c r="H17" s="375">
        <f>'enrolment vs availed_UPY'!Q16</f>
        <v>2322640</v>
      </c>
      <c r="I17" s="375">
        <v>214</v>
      </c>
      <c r="J17" s="353">
        <f t="shared" si="1"/>
        <v>10853</v>
      </c>
    </row>
    <row r="18" spans="1:10" x14ac:dyDescent="0.2">
      <c r="A18" s="18">
        <v>7</v>
      </c>
      <c r="B18" s="361" t="s">
        <v>896</v>
      </c>
      <c r="C18" s="367">
        <v>785</v>
      </c>
      <c r="D18" s="367">
        <v>92301</v>
      </c>
      <c r="E18" s="17">
        <v>240</v>
      </c>
      <c r="F18" s="376">
        <f t="shared" si="0"/>
        <v>22152240</v>
      </c>
      <c r="G18" s="367">
        <f>'AT-3'!D15</f>
        <v>782</v>
      </c>
      <c r="H18" s="375">
        <f>'enrolment vs availed_UPY'!Q17</f>
        <v>16460281</v>
      </c>
      <c r="I18" s="375">
        <v>227</v>
      </c>
      <c r="J18" s="353">
        <f t="shared" si="1"/>
        <v>72512</v>
      </c>
    </row>
    <row r="19" spans="1:10" x14ac:dyDescent="0.2">
      <c r="A19" s="18">
        <v>8</v>
      </c>
      <c r="B19" s="361" t="s">
        <v>897</v>
      </c>
      <c r="C19" s="367">
        <v>237</v>
      </c>
      <c r="D19" s="367">
        <v>10110</v>
      </c>
      <c r="E19" s="17">
        <v>240</v>
      </c>
      <c r="F19" s="376">
        <f t="shared" si="0"/>
        <v>2426400</v>
      </c>
      <c r="G19" s="367">
        <f>'AT-3'!D16</f>
        <v>237</v>
      </c>
      <c r="H19" s="375">
        <f>'enrolment vs availed_UPY'!Q18</f>
        <v>2271597</v>
      </c>
      <c r="I19" s="375">
        <v>225</v>
      </c>
      <c r="J19" s="353">
        <f t="shared" si="1"/>
        <v>10096</v>
      </c>
    </row>
    <row r="20" spans="1:10" x14ac:dyDescent="0.2">
      <c r="A20" s="18">
        <v>9</v>
      </c>
      <c r="B20" s="361" t="s">
        <v>898</v>
      </c>
      <c r="C20" s="367">
        <v>452</v>
      </c>
      <c r="D20" s="367">
        <v>33009</v>
      </c>
      <c r="E20" s="17">
        <v>240</v>
      </c>
      <c r="F20" s="376">
        <f t="shared" si="0"/>
        <v>7922160</v>
      </c>
      <c r="G20" s="367">
        <f>'AT-3'!D17</f>
        <v>452</v>
      </c>
      <c r="H20" s="375">
        <f>'enrolment vs availed_UPY'!Q19</f>
        <v>6663841</v>
      </c>
      <c r="I20" s="375">
        <v>231</v>
      </c>
      <c r="J20" s="353">
        <f t="shared" si="1"/>
        <v>28848</v>
      </c>
    </row>
    <row r="21" spans="1:10" x14ac:dyDescent="0.2">
      <c r="A21" s="18">
        <v>10</v>
      </c>
      <c r="B21" s="361" t="s">
        <v>899</v>
      </c>
      <c r="C21" s="367">
        <v>360</v>
      </c>
      <c r="D21" s="367">
        <v>43481</v>
      </c>
      <c r="E21" s="17">
        <v>240</v>
      </c>
      <c r="F21" s="376">
        <f t="shared" si="0"/>
        <v>10435440</v>
      </c>
      <c r="G21" s="367">
        <f>'AT-3'!D18</f>
        <v>361</v>
      </c>
      <c r="H21" s="375">
        <f>'enrolment vs availed_UPY'!Q20</f>
        <v>8386482</v>
      </c>
      <c r="I21" s="375">
        <v>231</v>
      </c>
      <c r="J21" s="353">
        <f t="shared" si="1"/>
        <v>36305</v>
      </c>
    </row>
    <row r="22" spans="1:10" x14ac:dyDescent="0.2">
      <c r="A22" s="18">
        <v>11</v>
      </c>
      <c r="B22" s="361" t="s">
        <v>900</v>
      </c>
      <c r="C22" s="367">
        <v>450</v>
      </c>
      <c r="D22" s="367">
        <v>28352</v>
      </c>
      <c r="E22" s="17">
        <v>240</v>
      </c>
      <c r="F22" s="376">
        <f t="shared" si="0"/>
        <v>6804480</v>
      </c>
      <c r="G22" s="367">
        <f>'AT-3'!D19</f>
        <v>450</v>
      </c>
      <c r="H22" s="375">
        <f>'enrolment vs availed_UPY'!Q21</f>
        <v>5691701</v>
      </c>
      <c r="I22" s="375">
        <v>234</v>
      </c>
      <c r="J22" s="353">
        <f t="shared" si="1"/>
        <v>24324</v>
      </c>
    </row>
    <row r="23" spans="1:10" x14ac:dyDescent="0.2">
      <c r="A23" s="18">
        <v>12</v>
      </c>
      <c r="B23" s="361" t="s">
        <v>901</v>
      </c>
      <c r="C23" s="366">
        <v>790</v>
      </c>
      <c r="D23" s="366">
        <v>73380</v>
      </c>
      <c r="E23" s="17">
        <v>240</v>
      </c>
      <c r="F23" s="376">
        <f t="shared" si="0"/>
        <v>17611200</v>
      </c>
      <c r="G23" s="367">
        <f>'AT-3'!D20</f>
        <v>791</v>
      </c>
      <c r="H23" s="375">
        <f>'enrolment vs availed_UPY'!Q22</f>
        <v>12302560</v>
      </c>
      <c r="I23" s="374">
        <v>227</v>
      </c>
      <c r="J23" s="353">
        <f t="shared" si="1"/>
        <v>54196</v>
      </c>
    </row>
    <row r="24" spans="1:10" x14ac:dyDescent="0.2">
      <c r="A24" s="18">
        <v>13</v>
      </c>
      <c r="B24" s="361" t="s">
        <v>902</v>
      </c>
      <c r="C24" s="366">
        <v>520</v>
      </c>
      <c r="D24" s="366">
        <v>35780</v>
      </c>
      <c r="E24" s="17">
        <v>240</v>
      </c>
      <c r="F24" s="376">
        <f t="shared" si="0"/>
        <v>8587200</v>
      </c>
      <c r="G24" s="367">
        <f>'AT-3'!D21</f>
        <v>521</v>
      </c>
      <c r="H24" s="375">
        <f>'enrolment vs availed_UPY'!Q23</f>
        <v>7585690</v>
      </c>
      <c r="I24" s="374">
        <v>225</v>
      </c>
      <c r="J24" s="353">
        <f t="shared" si="1"/>
        <v>33714</v>
      </c>
    </row>
    <row r="25" spans="1:10" x14ac:dyDescent="0.2">
      <c r="A25" s="18">
        <v>14</v>
      </c>
      <c r="B25" s="361" t="s">
        <v>903</v>
      </c>
      <c r="C25" s="366">
        <v>615</v>
      </c>
      <c r="D25" s="366">
        <v>35646</v>
      </c>
      <c r="E25" s="17">
        <v>240</v>
      </c>
      <c r="F25" s="376">
        <f t="shared" si="0"/>
        <v>8555040</v>
      </c>
      <c r="G25" s="367">
        <f>'AT-3'!D22</f>
        <v>615</v>
      </c>
      <c r="H25" s="375">
        <f>'enrolment vs availed_UPY'!Q24</f>
        <v>6841111</v>
      </c>
      <c r="I25" s="374">
        <v>234</v>
      </c>
      <c r="J25" s="353">
        <f t="shared" si="1"/>
        <v>29236</v>
      </c>
    </row>
    <row r="26" spans="1:10" x14ac:dyDescent="0.2">
      <c r="A26" s="18">
        <v>15</v>
      </c>
      <c r="B26" s="361" t="s">
        <v>904</v>
      </c>
      <c r="C26" s="366">
        <v>495</v>
      </c>
      <c r="D26" s="366">
        <v>45524</v>
      </c>
      <c r="E26" s="17">
        <v>240</v>
      </c>
      <c r="F26" s="376">
        <f t="shared" si="0"/>
        <v>10925760</v>
      </c>
      <c r="G26" s="367">
        <f>'AT-3'!D23</f>
        <v>496</v>
      </c>
      <c r="H26" s="375">
        <f>'enrolment vs availed_UPY'!Q25</f>
        <v>8359707</v>
      </c>
      <c r="I26" s="374">
        <v>225</v>
      </c>
      <c r="J26" s="353">
        <f t="shared" si="1"/>
        <v>37154</v>
      </c>
    </row>
    <row r="27" spans="1:10" x14ac:dyDescent="0.2">
      <c r="A27" s="18">
        <v>16</v>
      </c>
      <c r="B27" s="361" t="s">
        <v>905</v>
      </c>
      <c r="C27" s="366">
        <v>606</v>
      </c>
      <c r="D27" s="366">
        <v>29142</v>
      </c>
      <c r="E27" s="17">
        <v>240</v>
      </c>
      <c r="F27" s="376">
        <f t="shared" si="0"/>
        <v>6994080</v>
      </c>
      <c r="G27" s="367">
        <f>'AT-3'!D24</f>
        <v>604</v>
      </c>
      <c r="H27" s="375">
        <f>'enrolment vs availed_UPY'!Q26</f>
        <v>6169604</v>
      </c>
      <c r="I27" s="374">
        <v>231</v>
      </c>
      <c r="J27" s="353">
        <f t="shared" si="1"/>
        <v>26708</v>
      </c>
    </row>
    <row r="28" spans="1:10" x14ac:dyDescent="0.2">
      <c r="A28" s="18">
        <v>17</v>
      </c>
      <c r="B28" s="361" t="s">
        <v>906</v>
      </c>
      <c r="C28" s="366">
        <v>525</v>
      </c>
      <c r="D28" s="366">
        <v>46227</v>
      </c>
      <c r="E28" s="17">
        <v>240</v>
      </c>
      <c r="F28" s="376">
        <f t="shared" si="0"/>
        <v>11094480</v>
      </c>
      <c r="G28" s="367">
        <f>'AT-3'!D25</f>
        <v>525</v>
      </c>
      <c r="H28" s="375">
        <f>'enrolment vs availed_UPY'!Q27</f>
        <v>9078763</v>
      </c>
      <c r="I28" s="374">
        <v>233</v>
      </c>
      <c r="J28" s="353">
        <f t="shared" si="1"/>
        <v>38965</v>
      </c>
    </row>
    <row r="29" spans="1:10" x14ac:dyDescent="0.2">
      <c r="A29" s="18">
        <v>18</v>
      </c>
      <c r="B29" s="361" t="s">
        <v>907</v>
      </c>
      <c r="C29" s="366">
        <v>417</v>
      </c>
      <c r="D29" s="366">
        <v>27477</v>
      </c>
      <c r="E29" s="17">
        <v>240</v>
      </c>
      <c r="F29" s="376">
        <f t="shared" si="0"/>
        <v>6594480</v>
      </c>
      <c r="G29" s="367">
        <f>'AT-3'!D26</f>
        <v>419</v>
      </c>
      <c r="H29" s="375">
        <f>'enrolment vs availed_UPY'!Q28</f>
        <v>4778653</v>
      </c>
      <c r="I29" s="374">
        <v>224</v>
      </c>
      <c r="J29" s="353">
        <f t="shared" si="1"/>
        <v>21333</v>
      </c>
    </row>
    <row r="30" spans="1:10" x14ac:dyDescent="0.2">
      <c r="A30" s="18">
        <v>19</v>
      </c>
      <c r="B30" s="361" t="s">
        <v>908</v>
      </c>
      <c r="C30" s="366">
        <v>501</v>
      </c>
      <c r="D30" s="366">
        <v>53336</v>
      </c>
      <c r="E30" s="17">
        <v>240</v>
      </c>
      <c r="F30" s="376">
        <f t="shared" si="0"/>
        <v>12800640</v>
      </c>
      <c r="G30" s="367">
        <f>'AT-3'!D27</f>
        <v>502</v>
      </c>
      <c r="H30" s="375">
        <f>'enrolment vs availed_UPY'!Q29</f>
        <v>10182790</v>
      </c>
      <c r="I30" s="374">
        <v>234</v>
      </c>
      <c r="J30" s="353">
        <f t="shared" si="1"/>
        <v>43516</v>
      </c>
    </row>
    <row r="31" spans="1:10" x14ac:dyDescent="0.2">
      <c r="A31" s="18">
        <v>20</v>
      </c>
      <c r="B31" s="361" t="s">
        <v>909</v>
      </c>
      <c r="C31" s="366">
        <v>275</v>
      </c>
      <c r="D31" s="366">
        <v>36436</v>
      </c>
      <c r="E31" s="17">
        <v>240</v>
      </c>
      <c r="F31" s="376">
        <f t="shared" si="0"/>
        <v>8744640</v>
      </c>
      <c r="G31" s="367">
        <f>'AT-3'!D28</f>
        <v>275</v>
      </c>
      <c r="H31" s="375">
        <f>'enrolment vs availed_UPY'!Q30</f>
        <v>6994203</v>
      </c>
      <c r="I31" s="374">
        <v>227</v>
      </c>
      <c r="J31" s="353">
        <f t="shared" si="1"/>
        <v>30811</v>
      </c>
    </row>
    <row r="32" spans="1:10" x14ac:dyDescent="0.2">
      <c r="A32" s="18">
        <v>21</v>
      </c>
      <c r="B32" s="361" t="s">
        <v>910</v>
      </c>
      <c r="C32" s="366">
        <v>143</v>
      </c>
      <c r="D32" s="366">
        <v>6451</v>
      </c>
      <c r="E32" s="17">
        <v>240</v>
      </c>
      <c r="F32" s="376">
        <f t="shared" si="0"/>
        <v>1548240</v>
      </c>
      <c r="G32" s="367">
        <f>'AT-3'!D29</f>
        <v>146</v>
      </c>
      <c r="H32" s="375">
        <f>'enrolment vs availed_UPY'!Q31</f>
        <v>1414226</v>
      </c>
      <c r="I32" s="374">
        <v>231</v>
      </c>
      <c r="J32" s="353">
        <f t="shared" si="1"/>
        <v>6122</v>
      </c>
    </row>
    <row r="33" spans="1:10" x14ac:dyDescent="0.2">
      <c r="A33" s="18">
        <v>22</v>
      </c>
      <c r="B33" s="361" t="s">
        <v>911</v>
      </c>
      <c r="C33" s="366">
        <v>919</v>
      </c>
      <c r="D33" s="366">
        <v>55346</v>
      </c>
      <c r="E33" s="17">
        <v>240</v>
      </c>
      <c r="F33" s="376">
        <f t="shared" si="0"/>
        <v>13283040</v>
      </c>
      <c r="G33" s="367">
        <f>'AT-3'!D30</f>
        <v>919</v>
      </c>
      <c r="H33" s="375">
        <f>'enrolment vs availed_UPY'!Q32</f>
        <v>10313292</v>
      </c>
      <c r="I33" s="374">
        <v>226</v>
      </c>
      <c r="J33" s="353">
        <f t="shared" si="1"/>
        <v>45634</v>
      </c>
    </row>
    <row r="34" spans="1:10" x14ac:dyDescent="0.2">
      <c r="A34" s="18">
        <v>23</v>
      </c>
      <c r="B34" s="361" t="s">
        <v>912</v>
      </c>
      <c r="C34" s="366">
        <v>481</v>
      </c>
      <c r="D34" s="366">
        <v>68598</v>
      </c>
      <c r="E34" s="17">
        <v>240</v>
      </c>
      <c r="F34" s="376">
        <f t="shared" si="0"/>
        <v>16463520</v>
      </c>
      <c r="G34" s="367">
        <f>'AT-3'!D31</f>
        <v>482</v>
      </c>
      <c r="H34" s="375">
        <f>'enrolment vs availed_UPY'!Q33</f>
        <v>13579867</v>
      </c>
      <c r="I34" s="374">
        <v>231</v>
      </c>
      <c r="J34" s="353">
        <f t="shared" si="1"/>
        <v>58787</v>
      </c>
    </row>
    <row r="35" spans="1:10" x14ac:dyDescent="0.2">
      <c r="A35" s="18">
        <v>24</v>
      </c>
      <c r="B35" s="361" t="s">
        <v>913</v>
      </c>
      <c r="C35" s="366">
        <v>795</v>
      </c>
      <c r="D35" s="366">
        <v>69043</v>
      </c>
      <c r="E35" s="17">
        <v>240</v>
      </c>
      <c r="F35" s="376">
        <f t="shared" si="0"/>
        <v>16570320</v>
      </c>
      <c r="G35" s="367">
        <f>'AT-3'!D32</f>
        <v>795</v>
      </c>
      <c r="H35" s="375">
        <f>'enrolment vs availed_UPY'!Q34</f>
        <v>14319251</v>
      </c>
      <c r="I35" s="374">
        <v>232</v>
      </c>
      <c r="J35" s="353">
        <f t="shared" si="1"/>
        <v>61721</v>
      </c>
    </row>
    <row r="36" spans="1:10" x14ac:dyDescent="0.2">
      <c r="A36" s="18">
        <v>25</v>
      </c>
      <c r="B36" s="361" t="s">
        <v>919</v>
      </c>
      <c r="C36" s="366">
        <v>575</v>
      </c>
      <c r="D36" s="366">
        <v>33695</v>
      </c>
      <c r="E36" s="17">
        <v>240</v>
      </c>
      <c r="F36" s="376">
        <f t="shared" si="0"/>
        <v>8086800</v>
      </c>
      <c r="G36" s="367">
        <f>'AT-3'!D33</f>
        <v>576</v>
      </c>
      <c r="H36" s="375">
        <f>'enrolment vs availed_UPY'!Q35</f>
        <v>6698616</v>
      </c>
      <c r="I36" s="374">
        <v>229</v>
      </c>
      <c r="J36" s="353">
        <f t="shared" si="1"/>
        <v>29252</v>
      </c>
    </row>
    <row r="37" spans="1:10" x14ac:dyDescent="0.2">
      <c r="A37" s="18">
        <v>26</v>
      </c>
      <c r="B37" s="361" t="s">
        <v>914</v>
      </c>
      <c r="C37" s="366">
        <v>217</v>
      </c>
      <c r="D37" s="366">
        <v>7860</v>
      </c>
      <c r="E37" s="17">
        <v>240</v>
      </c>
      <c r="F37" s="376">
        <f t="shared" si="0"/>
        <v>1886400</v>
      </c>
      <c r="G37" s="367">
        <f>'AT-3'!D34</f>
        <v>216</v>
      </c>
      <c r="H37" s="375">
        <f>'enrolment vs availed_UPY'!Q36</f>
        <v>1661111</v>
      </c>
      <c r="I37" s="374">
        <v>217</v>
      </c>
      <c r="J37" s="353">
        <f t="shared" si="1"/>
        <v>7655</v>
      </c>
    </row>
    <row r="38" spans="1:10" ht="15" x14ac:dyDescent="0.2">
      <c r="A38" s="18">
        <v>27</v>
      </c>
      <c r="B38" s="362" t="s">
        <v>915</v>
      </c>
      <c r="C38" s="366">
        <v>564</v>
      </c>
      <c r="D38" s="366">
        <v>35683</v>
      </c>
      <c r="E38" s="17">
        <v>240</v>
      </c>
      <c r="F38" s="376">
        <f t="shared" si="0"/>
        <v>8563920</v>
      </c>
      <c r="G38" s="367">
        <f>'AT-3'!D35</f>
        <v>564</v>
      </c>
      <c r="H38" s="375">
        <f>'enrolment vs availed_UPY'!Q37</f>
        <v>6943284</v>
      </c>
      <c r="I38" s="374">
        <v>225</v>
      </c>
      <c r="J38" s="353">
        <f t="shared" si="1"/>
        <v>30859</v>
      </c>
    </row>
    <row r="39" spans="1:10" x14ac:dyDescent="0.2">
      <c r="A39" s="3" t="s">
        <v>18</v>
      </c>
      <c r="B39" s="30"/>
      <c r="C39" s="30">
        <f>SUM(C12:C38)</f>
        <v>13585</v>
      </c>
      <c r="D39" s="30">
        <f>SUM(D12:D38)</f>
        <v>1100000</v>
      </c>
      <c r="E39" s="30">
        <v>240</v>
      </c>
      <c r="F39" s="366">
        <f>SUM(F12:F38)</f>
        <v>264000000</v>
      </c>
      <c r="G39" s="366">
        <f>SUM(G12:G38)</f>
        <v>13589</v>
      </c>
      <c r="H39" s="30">
        <f>SUM(H12:H38)</f>
        <v>211842317</v>
      </c>
      <c r="I39" s="30">
        <v>151</v>
      </c>
      <c r="J39" s="30">
        <f>SUM(J12:J38)</f>
        <v>925641</v>
      </c>
    </row>
    <row r="40" spans="1:10" x14ac:dyDescent="0.2">
      <c r="A40" s="11"/>
      <c r="B40" s="31"/>
      <c r="C40" s="31"/>
      <c r="D40" s="22"/>
      <c r="E40" s="22"/>
      <c r="F40" s="22"/>
      <c r="G40" s="22"/>
      <c r="H40" s="22"/>
      <c r="I40" s="22"/>
      <c r="J40" s="22"/>
    </row>
    <row r="41" spans="1:10" x14ac:dyDescent="0.2">
      <c r="A41" s="940" t="s">
        <v>710</v>
      </c>
      <c r="B41" s="940"/>
      <c r="C41" s="940"/>
      <c r="D41" s="940"/>
      <c r="E41" s="940"/>
      <c r="F41" s="940"/>
      <c r="G41" s="940"/>
      <c r="H41" s="940"/>
      <c r="I41" s="22"/>
      <c r="J41" s="22"/>
    </row>
    <row r="42" spans="1:10" x14ac:dyDescent="0.2">
      <c r="A42" s="11"/>
      <c r="B42" s="31"/>
      <c r="C42" s="31"/>
      <c r="D42" s="22"/>
      <c r="E42" s="22"/>
      <c r="F42" s="22"/>
      <c r="G42" s="22"/>
      <c r="H42" s="22"/>
      <c r="I42" s="22"/>
      <c r="J42" s="22"/>
    </row>
    <row r="43" spans="1:10" s="569" customFormat="1" ht="15.75" customHeight="1" x14ac:dyDescent="0.2">
      <c r="A43" s="14"/>
      <c r="B43" s="14"/>
      <c r="C43" s="14"/>
      <c r="D43" s="14"/>
      <c r="E43" s="14"/>
      <c r="F43" s="14"/>
      <c r="G43" s="14"/>
      <c r="I43" s="563"/>
      <c r="J43" s="563"/>
    </row>
    <row r="44" spans="1:10" s="569" customFormat="1" ht="12.75" customHeight="1" x14ac:dyDescent="0.2">
      <c r="A44" s="563"/>
      <c r="B44" s="563"/>
      <c r="C44" s="563"/>
      <c r="D44" s="563"/>
      <c r="E44" s="563"/>
      <c r="F44" s="810" t="s">
        <v>13</v>
      </c>
      <c r="G44" s="810"/>
      <c r="H44" s="810"/>
      <c r="I44" s="810"/>
      <c r="J44" s="810"/>
    </row>
    <row r="45" spans="1:10" s="569" customFormat="1" ht="12.75" customHeight="1" x14ac:dyDescent="0.2">
      <c r="A45" s="563"/>
      <c r="B45" s="563"/>
      <c r="C45" s="563"/>
      <c r="D45" s="563"/>
      <c r="E45" s="563"/>
      <c r="F45" s="810" t="s">
        <v>14</v>
      </c>
      <c r="G45" s="810"/>
      <c r="H45" s="810"/>
      <c r="I45" s="810"/>
      <c r="J45" s="810"/>
    </row>
    <row r="46" spans="1:10" s="569" customFormat="1" x14ac:dyDescent="0.2">
      <c r="A46" s="14"/>
      <c r="B46" s="14"/>
      <c r="C46" s="14"/>
      <c r="E46" s="14"/>
      <c r="F46" s="810" t="s">
        <v>918</v>
      </c>
      <c r="G46" s="810"/>
      <c r="H46" s="810"/>
      <c r="I46" s="810"/>
      <c r="J46" s="810"/>
    </row>
    <row r="47" spans="1:10" ht="15" x14ac:dyDescent="0.25">
      <c r="A47" s="492" t="s">
        <v>12</v>
      </c>
      <c r="F47" s="207" t="s">
        <v>82</v>
      </c>
      <c r="G47" s="207"/>
      <c r="H47" s="207"/>
      <c r="I47" s="207"/>
      <c r="J47" s="207"/>
    </row>
    <row r="50" spans="1:10" x14ac:dyDescent="0.2">
      <c r="A50" s="941"/>
      <c r="B50" s="941"/>
      <c r="C50" s="941"/>
      <c r="D50" s="941"/>
      <c r="E50" s="941"/>
      <c r="F50" s="941"/>
      <c r="G50" s="941"/>
      <c r="H50" s="941"/>
      <c r="I50" s="941"/>
      <c r="J50" s="941"/>
    </row>
    <row r="52" spans="1:10" x14ac:dyDescent="0.2">
      <c r="A52" s="941"/>
      <c r="B52" s="941"/>
      <c r="C52" s="941"/>
      <c r="D52" s="941"/>
      <c r="E52" s="941"/>
      <c r="F52" s="941"/>
      <c r="G52" s="941"/>
      <c r="H52" s="941"/>
      <c r="I52" s="941"/>
      <c r="J52" s="941"/>
    </row>
  </sheetData>
  <mergeCells count="15">
    <mergeCell ref="E1:I1"/>
    <mergeCell ref="A2:J2"/>
    <mergeCell ref="A3:J3"/>
    <mergeCell ref="A5:J5"/>
    <mergeCell ref="H8:J8"/>
    <mergeCell ref="A50:J50"/>
    <mergeCell ref="A52:J52"/>
    <mergeCell ref="A9:A10"/>
    <mergeCell ref="B9:B10"/>
    <mergeCell ref="C9:F9"/>
    <mergeCell ref="G9:J9"/>
    <mergeCell ref="A41:H41"/>
    <mergeCell ref="F44:J44"/>
    <mergeCell ref="F45:J45"/>
    <mergeCell ref="F46:J46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J52"/>
  <sheetViews>
    <sheetView zoomScaleSheetLayoutView="90" workbookViewId="0">
      <selection activeCell="H8" sqref="H8:J8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 x14ac:dyDescent="0.2">
      <c r="E1" s="870"/>
      <c r="F1" s="870"/>
      <c r="G1" s="870"/>
      <c r="H1" s="870"/>
      <c r="I1" s="870"/>
      <c r="J1" s="130" t="s">
        <v>360</v>
      </c>
    </row>
    <row r="2" spans="1:10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0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0" customFormat="1" ht="14.25" customHeight="1" x14ac:dyDescent="0.2"/>
    <row r="5" spans="1:10" ht="19.5" customHeight="1" x14ac:dyDescent="0.25">
      <c r="A5" s="933" t="s">
        <v>799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0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 x14ac:dyDescent="0.2"/>
    <row r="8" spans="1:10" ht="15" x14ac:dyDescent="0.3">
      <c r="A8" s="197" t="s">
        <v>917</v>
      </c>
      <c r="B8" s="197" t="s">
        <v>916</v>
      </c>
      <c r="C8" s="32"/>
      <c r="H8" s="925" t="s">
        <v>1186</v>
      </c>
      <c r="I8" s="925"/>
      <c r="J8" s="925"/>
    </row>
    <row r="9" spans="1:10" x14ac:dyDescent="0.2">
      <c r="A9" s="824" t="s">
        <v>2</v>
      </c>
      <c r="B9" s="824" t="s">
        <v>3</v>
      </c>
      <c r="C9" s="818" t="s">
        <v>800</v>
      </c>
      <c r="D9" s="825"/>
      <c r="E9" s="825"/>
      <c r="F9" s="819"/>
      <c r="G9" s="818" t="s">
        <v>101</v>
      </c>
      <c r="H9" s="825"/>
      <c r="I9" s="825"/>
      <c r="J9" s="819"/>
    </row>
    <row r="10" spans="1:10" ht="77.45" customHeight="1" x14ac:dyDescent="0.2">
      <c r="A10" s="824"/>
      <c r="B10" s="824"/>
      <c r="C10" s="5" t="s">
        <v>181</v>
      </c>
      <c r="D10" s="5" t="s">
        <v>16</v>
      </c>
      <c r="E10" s="240" t="s">
        <v>818</v>
      </c>
      <c r="F10" s="7" t="s">
        <v>198</v>
      </c>
      <c r="G10" s="5" t="s">
        <v>181</v>
      </c>
      <c r="H10" s="26" t="s">
        <v>17</v>
      </c>
      <c r="I10" s="102" t="s">
        <v>708</v>
      </c>
      <c r="J10" s="5" t="s">
        <v>709</v>
      </c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0" x14ac:dyDescent="0.2">
      <c r="A12" s="17">
        <v>1</v>
      </c>
      <c r="B12" s="361" t="s">
        <v>890</v>
      </c>
      <c r="C12" s="5"/>
      <c r="D12" s="5"/>
      <c r="E12" s="5"/>
      <c r="F12" s="131"/>
      <c r="G12" s="5"/>
      <c r="H12" s="99"/>
      <c r="I12" s="99"/>
      <c r="J12" s="99"/>
    </row>
    <row r="13" spans="1:10" x14ac:dyDescent="0.2">
      <c r="A13" s="17">
        <v>2</v>
      </c>
      <c r="B13" s="361" t="s">
        <v>891</v>
      </c>
      <c r="C13" s="5"/>
      <c r="D13" s="5"/>
      <c r="E13" s="5"/>
      <c r="F13" s="131"/>
      <c r="G13" s="5"/>
      <c r="H13" s="99"/>
      <c r="I13" s="99"/>
      <c r="J13" s="99"/>
    </row>
    <row r="14" spans="1:10" x14ac:dyDescent="0.2">
      <c r="A14" s="17">
        <v>3</v>
      </c>
      <c r="B14" s="361" t="s">
        <v>892</v>
      </c>
      <c r="C14" s="5"/>
      <c r="D14" s="5"/>
      <c r="E14" s="5"/>
      <c r="F14" s="131"/>
      <c r="G14" s="5"/>
      <c r="H14" s="99"/>
      <c r="I14" s="99"/>
      <c r="J14" s="99"/>
    </row>
    <row r="15" spans="1:10" x14ac:dyDescent="0.2">
      <c r="A15" s="17">
        <v>4</v>
      </c>
      <c r="B15" s="361" t="s">
        <v>893</v>
      </c>
      <c r="C15" s="5"/>
      <c r="D15" s="5"/>
      <c r="E15" s="5"/>
      <c r="F15" s="131"/>
      <c r="G15" s="5"/>
      <c r="H15" s="99"/>
      <c r="I15" s="99"/>
      <c r="J15" s="99"/>
    </row>
    <row r="16" spans="1:10" x14ac:dyDescent="0.2">
      <c r="A16" s="17">
        <v>5</v>
      </c>
      <c r="B16" s="361" t="s">
        <v>894</v>
      </c>
      <c r="C16" s="5"/>
      <c r="D16" s="5"/>
      <c r="E16" s="5"/>
      <c r="F16" s="131"/>
      <c r="G16" s="5"/>
      <c r="H16" s="99"/>
      <c r="I16" s="99"/>
      <c r="J16" s="99"/>
    </row>
    <row r="17" spans="1:10" x14ac:dyDescent="0.2">
      <c r="A17" s="17">
        <v>6</v>
      </c>
      <c r="B17" s="361" t="s">
        <v>895</v>
      </c>
      <c r="C17" s="5"/>
      <c r="D17" s="5"/>
      <c r="E17" s="5"/>
      <c r="F17" s="131"/>
      <c r="G17" s="5"/>
      <c r="H17" s="99"/>
      <c r="I17" s="99"/>
      <c r="J17" s="99"/>
    </row>
    <row r="18" spans="1:10" x14ac:dyDescent="0.2">
      <c r="A18" s="17">
        <v>7</v>
      </c>
      <c r="B18" s="361" t="s">
        <v>896</v>
      </c>
      <c r="C18" s="5"/>
      <c r="D18" s="5"/>
      <c r="E18" s="5"/>
      <c r="F18" s="131"/>
      <c r="G18" s="5"/>
      <c r="H18" s="99"/>
      <c r="I18" s="99"/>
      <c r="J18" s="99"/>
    </row>
    <row r="19" spans="1:10" x14ac:dyDescent="0.2">
      <c r="A19" s="17">
        <v>8</v>
      </c>
      <c r="B19" s="361" t="s">
        <v>897</v>
      </c>
      <c r="C19" s="5"/>
      <c r="D19" s="5"/>
      <c r="E19" s="5"/>
      <c r="F19" s="131"/>
      <c r="G19" s="5"/>
      <c r="H19" s="99"/>
      <c r="I19" s="99"/>
      <c r="J19" s="99"/>
    </row>
    <row r="20" spans="1:10" x14ac:dyDescent="0.2">
      <c r="A20" s="17">
        <v>9</v>
      </c>
      <c r="B20" s="361" t="s">
        <v>898</v>
      </c>
      <c r="C20" s="19"/>
      <c r="D20" s="19"/>
      <c r="E20" s="19"/>
      <c r="F20" s="101"/>
      <c r="G20" s="19"/>
      <c r="H20" s="29"/>
      <c r="I20" s="29"/>
      <c r="J20" s="29"/>
    </row>
    <row r="21" spans="1:10" x14ac:dyDescent="0.2">
      <c r="A21" s="17">
        <v>10</v>
      </c>
      <c r="B21" s="361" t="s">
        <v>899</v>
      </c>
      <c r="C21" s="19"/>
      <c r="D21" s="19"/>
      <c r="E21" s="19"/>
      <c r="F21" s="28"/>
      <c r="G21" s="19"/>
      <c r="H21" s="29"/>
      <c r="I21" s="29"/>
      <c r="J21" s="29"/>
    </row>
    <row r="22" spans="1:10" x14ac:dyDescent="0.2">
      <c r="A22" s="17">
        <v>11</v>
      </c>
      <c r="B22" s="361" t="s">
        <v>900</v>
      </c>
      <c r="C22" s="19"/>
      <c r="D22" s="19"/>
      <c r="E22" s="19" t="s">
        <v>11</v>
      </c>
      <c r="F22" s="28"/>
      <c r="G22" s="19"/>
      <c r="H22" s="29"/>
      <c r="I22" s="29"/>
      <c r="J22" s="29"/>
    </row>
    <row r="23" spans="1:10" x14ac:dyDescent="0.2">
      <c r="A23" s="17">
        <v>12</v>
      </c>
      <c r="B23" s="361" t="s">
        <v>901</v>
      </c>
      <c r="C23" s="19"/>
      <c r="D23" s="19"/>
      <c r="E23" s="19"/>
      <c r="F23" s="28"/>
      <c r="G23" s="19"/>
      <c r="H23" s="29"/>
      <c r="I23" s="29"/>
      <c r="J23" s="29"/>
    </row>
    <row r="24" spans="1:10" x14ac:dyDescent="0.2">
      <c r="A24" s="17">
        <v>13</v>
      </c>
      <c r="B24" s="361" t="s">
        <v>902</v>
      </c>
      <c r="C24" s="19"/>
      <c r="D24" s="19"/>
      <c r="E24" s="19"/>
      <c r="F24" s="28"/>
      <c r="G24" s="19"/>
      <c r="H24" s="29"/>
      <c r="I24" s="29"/>
      <c r="J24" s="29"/>
    </row>
    <row r="25" spans="1:10" x14ac:dyDescent="0.2">
      <c r="A25" s="17">
        <v>14</v>
      </c>
      <c r="B25" s="361" t="s">
        <v>903</v>
      </c>
      <c r="C25" s="19"/>
      <c r="D25" s="19"/>
      <c r="E25" s="19"/>
      <c r="F25" s="28"/>
      <c r="G25" s="19"/>
      <c r="H25" s="29"/>
      <c r="I25" s="29"/>
      <c r="J25" s="29"/>
    </row>
    <row r="26" spans="1:10" x14ac:dyDescent="0.2">
      <c r="A26" s="17">
        <v>15</v>
      </c>
      <c r="B26" s="361" t="s">
        <v>904</v>
      </c>
      <c r="C26" s="19"/>
      <c r="D26" s="19"/>
      <c r="E26" s="19"/>
      <c r="F26" s="28"/>
      <c r="G26" s="19"/>
      <c r="H26" s="29"/>
      <c r="I26" s="29"/>
      <c r="J26" s="29"/>
    </row>
    <row r="27" spans="1:10" x14ac:dyDescent="0.2">
      <c r="A27" s="17">
        <v>16</v>
      </c>
      <c r="B27" s="361" t="s">
        <v>905</v>
      </c>
      <c r="C27" s="19"/>
      <c r="D27" s="19"/>
      <c r="E27" s="19"/>
      <c r="F27" s="28"/>
      <c r="G27" s="19"/>
      <c r="H27" s="29"/>
      <c r="I27" s="29"/>
      <c r="J27" s="29"/>
    </row>
    <row r="28" spans="1:10" x14ac:dyDescent="0.2">
      <c r="A28" s="17">
        <v>17</v>
      </c>
      <c r="B28" s="361" t="s">
        <v>906</v>
      </c>
      <c r="C28" s="19"/>
      <c r="D28" s="19"/>
      <c r="E28" s="19"/>
      <c r="F28" s="28"/>
      <c r="G28" s="19"/>
      <c r="H28" s="29"/>
      <c r="I28" s="29"/>
      <c r="J28" s="29"/>
    </row>
    <row r="29" spans="1:10" x14ac:dyDescent="0.2">
      <c r="A29" s="17">
        <v>18</v>
      </c>
      <c r="B29" s="361" t="s">
        <v>907</v>
      </c>
      <c r="C29" s="19"/>
      <c r="D29" s="19"/>
      <c r="E29" s="19"/>
      <c r="F29" s="28"/>
      <c r="G29" s="19"/>
      <c r="H29" s="29"/>
      <c r="I29" s="29"/>
      <c r="J29" s="29"/>
    </row>
    <row r="30" spans="1:10" x14ac:dyDescent="0.2">
      <c r="A30" s="17">
        <v>19</v>
      </c>
      <c r="B30" s="361" t="s">
        <v>908</v>
      </c>
      <c r="C30" s="19"/>
      <c r="D30" s="19"/>
      <c r="E30" s="19"/>
      <c r="F30" s="28"/>
      <c r="G30" s="19"/>
      <c r="H30" s="29"/>
      <c r="I30" s="29"/>
      <c r="J30" s="29"/>
    </row>
    <row r="31" spans="1:10" x14ac:dyDescent="0.2">
      <c r="A31" s="17">
        <v>20</v>
      </c>
      <c r="B31" s="361" t="s">
        <v>909</v>
      </c>
      <c r="C31" s="19"/>
      <c r="D31" s="19"/>
      <c r="E31" s="19"/>
      <c r="F31" s="28"/>
      <c r="G31" s="19"/>
      <c r="H31" s="29"/>
      <c r="I31" s="29"/>
      <c r="J31" s="29"/>
    </row>
    <row r="32" spans="1:10" x14ac:dyDescent="0.2">
      <c r="A32" s="17">
        <v>21</v>
      </c>
      <c r="B32" s="361" t="s">
        <v>910</v>
      </c>
      <c r="C32" s="19"/>
      <c r="D32" s="19"/>
      <c r="E32" s="19"/>
      <c r="F32" s="28"/>
      <c r="G32" s="19"/>
      <c r="H32" s="29"/>
      <c r="I32" s="29"/>
      <c r="J32" s="29"/>
    </row>
    <row r="33" spans="1:10" x14ac:dyDescent="0.2">
      <c r="A33" s="17">
        <v>22</v>
      </c>
      <c r="B33" s="361" t="s">
        <v>911</v>
      </c>
      <c r="C33" s="19"/>
      <c r="D33" s="19"/>
      <c r="E33" s="19"/>
      <c r="F33" s="28"/>
      <c r="G33" s="19"/>
      <c r="H33" s="29"/>
      <c r="I33" s="29"/>
      <c r="J33" s="29"/>
    </row>
    <row r="34" spans="1:10" x14ac:dyDescent="0.2">
      <c r="A34" s="17">
        <v>23</v>
      </c>
      <c r="B34" s="361" t="s">
        <v>912</v>
      </c>
      <c r="C34" s="19"/>
      <c r="D34" s="19"/>
      <c r="E34" s="19"/>
      <c r="F34" s="28"/>
      <c r="G34" s="19"/>
      <c r="H34" s="29"/>
      <c r="I34" s="29"/>
      <c r="J34" s="29"/>
    </row>
    <row r="35" spans="1:10" x14ac:dyDescent="0.2">
      <c r="A35" s="17">
        <v>24</v>
      </c>
      <c r="B35" s="361" t="s">
        <v>913</v>
      </c>
      <c r="C35" s="19"/>
      <c r="D35" s="19"/>
      <c r="E35" s="19"/>
      <c r="F35" s="28"/>
      <c r="G35" s="19"/>
      <c r="H35" s="29"/>
      <c r="I35" s="29"/>
      <c r="J35" s="29"/>
    </row>
    <row r="36" spans="1:10" x14ac:dyDescent="0.2">
      <c r="A36" s="17">
        <v>25</v>
      </c>
      <c r="B36" s="361" t="s">
        <v>919</v>
      </c>
      <c r="C36" s="19"/>
      <c r="D36" s="19"/>
      <c r="E36" s="19"/>
      <c r="F36" s="28"/>
      <c r="G36" s="19"/>
      <c r="H36" s="29"/>
      <c r="I36" s="29"/>
      <c r="J36" s="29"/>
    </row>
    <row r="37" spans="1:10" x14ac:dyDescent="0.2">
      <c r="A37" s="17">
        <v>26</v>
      </c>
      <c r="B37" s="361" t="s">
        <v>914</v>
      </c>
      <c r="C37" s="19"/>
      <c r="D37" s="19"/>
      <c r="E37" s="19"/>
      <c r="F37" s="28"/>
      <c r="G37" s="19"/>
      <c r="H37" s="29"/>
      <c r="I37" s="29"/>
      <c r="J37" s="29"/>
    </row>
    <row r="38" spans="1:10" ht="15" x14ac:dyDescent="0.2">
      <c r="A38" s="17">
        <v>27</v>
      </c>
      <c r="B38" s="362" t="s">
        <v>915</v>
      </c>
      <c r="C38" s="19"/>
      <c r="D38" s="19"/>
      <c r="E38" s="19"/>
      <c r="F38" s="28"/>
      <c r="G38" s="19"/>
      <c r="H38" s="29"/>
      <c r="I38" s="29"/>
      <c r="J38" s="29"/>
    </row>
    <row r="39" spans="1:10" x14ac:dyDescent="0.2">
      <c r="A39" s="18" t="s">
        <v>18</v>
      </c>
      <c r="B39" s="30"/>
      <c r="C39" s="30"/>
      <c r="D39" s="19"/>
      <c r="E39" s="19"/>
      <c r="F39" s="28"/>
      <c r="G39" s="19"/>
      <c r="H39" s="29"/>
      <c r="I39" s="29"/>
      <c r="J39" s="29"/>
    </row>
    <row r="40" spans="1:10" x14ac:dyDescent="0.2">
      <c r="A40" s="11"/>
      <c r="B40" s="31"/>
      <c r="C40" s="31"/>
      <c r="D40" s="22"/>
      <c r="E40" s="22"/>
      <c r="F40" s="22"/>
      <c r="G40" s="22"/>
      <c r="H40" s="22"/>
      <c r="I40" s="22"/>
      <c r="J40" s="22"/>
    </row>
    <row r="41" spans="1:10" x14ac:dyDescent="0.2">
      <c r="A41" s="940" t="s">
        <v>710</v>
      </c>
      <c r="B41" s="940"/>
      <c r="C41" s="940"/>
      <c r="D41" s="940"/>
      <c r="E41" s="940"/>
      <c r="F41" s="940"/>
      <c r="G41" s="940"/>
      <c r="H41" s="940"/>
      <c r="I41" s="22"/>
      <c r="J41" s="22"/>
    </row>
    <row r="42" spans="1:10" x14ac:dyDescent="0.2">
      <c r="A42" s="11"/>
      <c r="B42" s="31"/>
      <c r="C42" s="31"/>
      <c r="D42" s="22"/>
      <c r="E42" s="22"/>
      <c r="F42" s="22"/>
      <c r="G42" s="22"/>
      <c r="H42" s="22"/>
      <c r="I42" s="22"/>
      <c r="J42" s="22"/>
    </row>
    <row r="43" spans="1:10" s="569" customFormat="1" ht="15.75" customHeight="1" x14ac:dyDescent="0.2">
      <c r="A43" s="14"/>
      <c r="B43" s="14"/>
      <c r="C43" s="14"/>
      <c r="D43" s="14"/>
      <c r="E43" s="14"/>
      <c r="F43" s="14"/>
      <c r="G43" s="14"/>
      <c r="I43" s="563"/>
      <c r="J43" s="563"/>
    </row>
    <row r="44" spans="1:10" s="569" customFormat="1" ht="12.75" customHeight="1" x14ac:dyDescent="0.2">
      <c r="A44" s="563"/>
      <c r="B44" s="563"/>
      <c r="C44" s="563"/>
      <c r="D44" s="563"/>
      <c r="E44" s="563"/>
      <c r="F44" s="810" t="s">
        <v>13</v>
      </c>
      <c r="G44" s="810"/>
      <c r="H44" s="810"/>
      <c r="I44" s="810"/>
      <c r="J44" s="810"/>
    </row>
    <row r="45" spans="1:10" s="569" customFormat="1" ht="12.75" customHeight="1" x14ac:dyDescent="0.2">
      <c r="A45" s="563"/>
      <c r="B45" s="563"/>
      <c r="C45" s="563"/>
      <c r="D45" s="563"/>
      <c r="E45" s="563"/>
      <c r="F45" s="810" t="s">
        <v>14</v>
      </c>
      <c r="G45" s="810"/>
      <c r="H45" s="810"/>
      <c r="I45" s="810"/>
      <c r="J45" s="810"/>
    </row>
    <row r="46" spans="1:10" s="569" customFormat="1" ht="12.75" customHeight="1" x14ac:dyDescent="0.2">
      <c r="A46" s="14"/>
      <c r="B46" s="14"/>
      <c r="C46" s="14"/>
      <c r="E46" s="14"/>
      <c r="F46" s="810" t="s">
        <v>918</v>
      </c>
      <c r="G46" s="810"/>
      <c r="H46" s="810"/>
      <c r="I46" s="810"/>
      <c r="J46" s="810"/>
    </row>
    <row r="47" spans="1:10" ht="15" x14ac:dyDescent="0.25">
      <c r="A47" s="492" t="s">
        <v>12</v>
      </c>
      <c r="F47" s="207" t="s">
        <v>82</v>
      </c>
      <c r="G47" s="207"/>
      <c r="H47" s="207"/>
      <c r="I47" s="207"/>
      <c r="J47" s="207"/>
    </row>
    <row r="50" spans="1:10" x14ac:dyDescent="0.2">
      <c r="A50" s="941"/>
      <c r="B50" s="941"/>
      <c r="C50" s="941"/>
      <c r="D50" s="941"/>
      <c r="E50" s="941"/>
      <c r="F50" s="941"/>
      <c r="G50" s="941"/>
      <c r="H50" s="941"/>
      <c r="I50" s="941"/>
      <c r="J50" s="941"/>
    </row>
    <row r="52" spans="1:10" x14ac:dyDescent="0.2">
      <c r="A52" s="941"/>
      <c r="B52" s="941"/>
      <c r="C52" s="941"/>
      <c r="D52" s="941"/>
      <c r="E52" s="941"/>
      <c r="F52" s="941"/>
      <c r="G52" s="941"/>
      <c r="H52" s="941"/>
      <c r="I52" s="941"/>
      <c r="J52" s="941"/>
    </row>
  </sheetData>
  <mergeCells count="15">
    <mergeCell ref="A50:J50"/>
    <mergeCell ref="A52:J52"/>
    <mergeCell ref="A9:A10"/>
    <mergeCell ref="B9:B10"/>
    <mergeCell ref="C9:F9"/>
    <mergeCell ref="G9:J9"/>
    <mergeCell ref="A41:H41"/>
    <mergeCell ref="F44:J44"/>
    <mergeCell ref="F45:J45"/>
    <mergeCell ref="F46:J46"/>
    <mergeCell ref="E1:I1"/>
    <mergeCell ref="A2:J2"/>
    <mergeCell ref="A3:J3"/>
    <mergeCell ref="A5:J5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P52"/>
  <sheetViews>
    <sheetView zoomScaleSheetLayoutView="90" workbookViewId="0">
      <selection activeCell="H8" sqref="H8:J8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70"/>
      <c r="F1" s="870"/>
      <c r="G1" s="870"/>
      <c r="H1" s="870"/>
      <c r="I1" s="870"/>
      <c r="J1" s="130" t="s">
        <v>359</v>
      </c>
    </row>
    <row r="2" spans="1:16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6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6" customFormat="1" ht="14.25" customHeight="1" x14ac:dyDescent="0.2"/>
    <row r="5" spans="1:16" ht="31.5" customHeight="1" x14ac:dyDescent="0.25">
      <c r="A5" s="933" t="s">
        <v>801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ht="15" x14ac:dyDescent="0.3">
      <c r="A8" s="197" t="s">
        <v>917</v>
      </c>
      <c r="B8" s="197" t="s">
        <v>916</v>
      </c>
      <c r="C8" s="32"/>
      <c r="H8" s="925" t="s">
        <v>1186</v>
      </c>
      <c r="I8" s="925"/>
      <c r="J8" s="925"/>
    </row>
    <row r="9" spans="1:16" x14ac:dyDescent="0.2">
      <c r="A9" s="824" t="s">
        <v>2</v>
      </c>
      <c r="B9" s="824" t="s">
        <v>3</v>
      </c>
      <c r="C9" s="818" t="s">
        <v>797</v>
      </c>
      <c r="D9" s="825"/>
      <c r="E9" s="825"/>
      <c r="F9" s="819"/>
      <c r="G9" s="818" t="s">
        <v>101</v>
      </c>
      <c r="H9" s="825"/>
      <c r="I9" s="825"/>
      <c r="J9" s="819"/>
      <c r="O9" s="19"/>
      <c r="P9" s="22"/>
    </row>
    <row r="10" spans="1:16" ht="53.25" customHeight="1" x14ac:dyDescent="0.2">
      <c r="A10" s="824"/>
      <c r="B10" s="824"/>
      <c r="C10" s="5" t="s">
        <v>181</v>
      </c>
      <c r="D10" s="5" t="s">
        <v>16</v>
      </c>
      <c r="E10" s="240" t="s">
        <v>361</v>
      </c>
      <c r="F10" s="7" t="s">
        <v>198</v>
      </c>
      <c r="G10" s="5" t="s">
        <v>181</v>
      </c>
      <c r="H10" s="26" t="s">
        <v>17</v>
      </c>
      <c r="I10" s="102" t="s">
        <v>708</v>
      </c>
      <c r="J10" s="5" t="s">
        <v>709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6" x14ac:dyDescent="0.2">
      <c r="A12" s="18">
        <v>1</v>
      </c>
      <c r="B12" s="361" t="s">
        <v>890</v>
      </c>
      <c r="C12" s="5"/>
      <c r="D12" s="5"/>
      <c r="E12" s="5"/>
      <c r="F12" s="131"/>
      <c r="G12" s="5"/>
      <c r="H12" s="99"/>
      <c r="I12" s="99"/>
      <c r="J12" s="99"/>
    </row>
    <row r="13" spans="1:16" x14ac:dyDescent="0.2">
      <c r="A13" s="18">
        <v>2</v>
      </c>
      <c r="B13" s="361" t="s">
        <v>891</v>
      </c>
      <c r="C13" s="5"/>
      <c r="D13" s="5"/>
      <c r="E13" s="5"/>
      <c r="F13" s="131"/>
      <c r="G13" s="5"/>
      <c r="H13" s="99"/>
      <c r="I13" s="99"/>
      <c r="J13" s="99"/>
    </row>
    <row r="14" spans="1:16" x14ac:dyDescent="0.2">
      <c r="A14" s="18">
        <v>3</v>
      </c>
      <c r="B14" s="361" t="s">
        <v>892</v>
      </c>
      <c r="C14" s="5"/>
      <c r="D14" s="5"/>
      <c r="E14" s="5"/>
      <c r="F14" s="131"/>
      <c r="G14" s="5"/>
      <c r="H14" s="99"/>
      <c r="I14" s="99"/>
      <c r="J14" s="99"/>
    </row>
    <row r="15" spans="1:16" x14ac:dyDescent="0.2">
      <c r="A15" s="18">
        <v>4</v>
      </c>
      <c r="B15" s="361" t="s">
        <v>893</v>
      </c>
      <c r="C15" s="5"/>
      <c r="D15" s="5"/>
      <c r="E15" s="5"/>
      <c r="F15" s="131"/>
      <c r="G15" s="5"/>
      <c r="H15" s="99"/>
      <c r="I15" s="99"/>
      <c r="J15" s="99"/>
    </row>
    <row r="16" spans="1:16" x14ac:dyDescent="0.2">
      <c r="A16" s="18">
        <v>5</v>
      </c>
      <c r="B16" s="361" t="s">
        <v>894</v>
      </c>
      <c r="C16" s="5"/>
      <c r="D16" s="5"/>
      <c r="E16" s="5"/>
      <c r="F16" s="131"/>
      <c r="G16" s="5"/>
      <c r="H16" s="99"/>
      <c r="I16" s="99"/>
      <c r="J16" s="99"/>
    </row>
    <row r="17" spans="1:10" x14ac:dyDescent="0.2">
      <c r="A17" s="18">
        <v>6</v>
      </c>
      <c r="B17" s="361" t="s">
        <v>895</v>
      </c>
      <c r="C17" s="5"/>
      <c r="D17" s="5"/>
      <c r="E17" s="5"/>
      <c r="F17" s="131"/>
      <c r="G17" s="5"/>
      <c r="H17" s="99"/>
      <c r="I17" s="99"/>
      <c r="J17" s="99"/>
    </row>
    <row r="18" spans="1:10" x14ac:dyDescent="0.2">
      <c r="A18" s="18">
        <v>7</v>
      </c>
      <c r="B18" s="361" t="s">
        <v>896</v>
      </c>
      <c r="C18" s="5"/>
      <c r="D18" s="5"/>
      <c r="E18" s="5"/>
      <c r="F18" s="131"/>
      <c r="G18" s="5"/>
      <c r="H18" s="99"/>
      <c r="I18" s="99"/>
      <c r="J18" s="99"/>
    </row>
    <row r="19" spans="1:10" x14ac:dyDescent="0.2">
      <c r="A19" s="18">
        <v>8</v>
      </c>
      <c r="B19" s="361" t="s">
        <v>897</v>
      </c>
      <c r="C19" s="5"/>
      <c r="D19" s="5"/>
      <c r="E19" s="5"/>
      <c r="F19" s="131"/>
      <c r="G19" s="5"/>
      <c r="H19" s="99"/>
      <c r="I19" s="99"/>
      <c r="J19" s="99"/>
    </row>
    <row r="20" spans="1:10" x14ac:dyDescent="0.2">
      <c r="A20" s="18">
        <v>9</v>
      </c>
      <c r="B20" s="361" t="s">
        <v>898</v>
      </c>
      <c r="C20" s="5"/>
      <c r="D20" s="5"/>
      <c r="E20" s="5"/>
      <c r="F20" s="131"/>
      <c r="G20" s="5"/>
      <c r="H20" s="99"/>
      <c r="I20" s="99"/>
      <c r="J20" s="99"/>
    </row>
    <row r="21" spans="1:10" x14ac:dyDescent="0.2">
      <c r="A21" s="18">
        <v>10</v>
      </c>
      <c r="B21" s="361" t="s">
        <v>899</v>
      </c>
      <c r="C21" s="5"/>
      <c r="D21" s="5"/>
      <c r="E21" s="5"/>
      <c r="F21" s="131"/>
      <c r="G21" s="5"/>
      <c r="H21" s="99"/>
      <c r="I21" s="99"/>
      <c r="J21" s="99"/>
    </row>
    <row r="22" spans="1:10" x14ac:dyDescent="0.2">
      <c r="A22" s="18">
        <v>11</v>
      </c>
      <c r="B22" s="361" t="s">
        <v>900</v>
      </c>
      <c r="C22" s="5"/>
      <c r="D22" s="5"/>
      <c r="E22" s="5"/>
      <c r="F22" s="131"/>
      <c r="G22" s="5"/>
      <c r="H22" s="99"/>
      <c r="I22" s="99"/>
      <c r="J22" s="99"/>
    </row>
    <row r="23" spans="1:10" x14ac:dyDescent="0.2">
      <c r="A23" s="18">
        <v>12</v>
      </c>
      <c r="B23" s="361" t="s">
        <v>901</v>
      </c>
      <c r="C23" s="19"/>
      <c r="D23" s="19"/>
      <c r="E23" s="19"/>
      <c r="F23" s="101"/>
      <c r="G23" s="19"/>
      <c r="H23" s="29"/>
      <c r="I23" s="29"/>
      <c r="J23" s="29"/>
    </row>
    <row r="24" spans="1:10" x14ac:dyDescent="0.2">
      <c r="A24" s="18">
        <v>13</v>
      </c>
      <c r="B24" s="361" t="s">
        <v>902</v>
      </c>
      <c r="C24" s="19"/>
      <c r="D24" s="19"/>
      <c r="E24" s="19"/>
      <c r="F24" s="28"/>
      <c r="G24" s="19"/>
      <c r="H24" s="29"/>
      <c r="I24" s="29"/>
      <c r="J24" s="29"/>
    </row>
    <row r="25" spans="1:10" x14ac:dyDescent="0.2">
      <c r="A25" s="18">
        <v>14</v>
      </c>
      <c r="B25" s="361" t="s">
        <v>903</v>
      </c>
      <c r="C25" s="19"/>
      <c r="D25" s="19"/>
      <c r="E25" s="19" t="s">
        <v>11</v>
      </c>
      <c r="F25" s="28"/>
      <c r="G25" s="19"/>
      <c r="H25" s="29"/>
      <c r="I25" s="29"/>
      <c r="J25" s="29"/>
    </row>
    <row r="26" spans="1:10" x14ac:dyDescent="0.2">
      <c r="A26" s="18">
        <v>15</v>
      </c>
      <c r="B26" s="361" t="s">
        <v>904</v>
      </c>
      <c r="C26" s="19"/>
      <c r="D26" s="19"/>
      <c r="E26" s="19"/>
      <c r="F26" s="28"/>
      <c r="G26" s="19"/>
      <c r="H26" s="29"/>
      <c r="I26" s="29"/>
      <c r="J26" s="29"/>
    </row>
    <row r="27" spans="1:10" x14ac:dyDescent="0.2">
      <c r="A27" s="18">
        <v>16</v>
      </c>
      <c r="B27" s="361" t="s">
        <v>905</v>
      </c>
      <c r="C27" s="19"/>
      <c r="D27" s="19"/>
      <c r="E27" s="19"/>
      <c r="F27" s="28"/>
      <c r="G27" s="19"/>
      <c r="H27" s="29"/>
      <c r="I27" s="29"/>
      <c r="J27" s="29"/>
    </row>
    <row r="28" spans="1:10" x14ac:dyDescent="0.2">
      <c r="A28" s="18">
        <v>17</v>
      </c>
      <c r="B28" s="361" t="s">
        <v>906</v>
      </c>
      <c r="C28" s="19"/>
      <c r="D28" s="19"/>
      <c r="E28" s="19"/>
      <c r="F28" s="28"/>
      <c r="G28" s="19"/>
      <c r="H28" s="29"/>
      <c r="I28" s="29"/>
      <c r="J28" s="29"/>
    </row>
    <row r="29" spans="1:10" x14ac:dyDescent="0.2">
      <c r="A29" s="18">
        <v>18</v>
      </c>
      <c r="B29" s="361" t="s">
        <v>907</v>
      </c>
      <c r="C29" s="19"/>
      <c r="D29" s="19"/>
      <c r="E29" s="19"/>
      <c r="F29" s="28"/>
      <c r="G29" s="19"/>
      <c r="H29" s="29"/>
      <c r="I29" s="29"/>
      <c r="J29" s="29"/>
    </row>
    <row r="30" spans="1:10" x14ac:dyDescent="0.2">
      <c r="A30" s="18">
        <v>19</v>
      </c>
      <c r="B30" s="361" t="s">
        <v>908</v>
      </c>
      <c r="C30" s="19"/>
      <c r="D30" s="19"/>
      <c r="E30" s="19"/>
      <c r="F30" s="28"/>
      <c r="G30" s="19"/>
      <c r="H30" s="29"/>
      <c r="I30" s="29"/>
      <c r="J30" s="29"/>
    </row>
    <row r="31" spans="1:10" x14ac:dyDescent="0.2">
      <c r="A31" s="18">
        <v>20</v>
      </c>
      <c r="B31" s="361" t="s">
        <v>909</v>
      </c>
      <c r="C31" s="19"/>
      <c r="D31" s="19"/>
      <c r="E31" s="19"/>
      <c r="F31" s="28"/>
      <c r="G31" s="19"/>
      <c r="H31" s="29"/>
      <c r="I31" s="29"/>
      <c r="J31" s="29"/>
    </row>
    <row r="32" spans="1:10" x14ac:dyDescent="0.2">
      <c r="A32" s="18">
        <v>21</v>
      </c>
      <c r="B32" s="361" t="s">
        <v>910</v>
      </c>
      <c r="C32" s="19"/>
      <c r="D32" s="19"/>
      <c r="E32" s="19"/>
      <c r="F32" s="28"/>
      <c r="G32" s="19"/>
      <c r="H32" s="29"/>
      <c r="I32" s="29"/>
      <c r="J32" s="29"/>
    </row>
    <row r="33" spans="1:10" x14ac:dyDescent="0.2">
      <c r="A33" s="18">
        <v>22</v>
      </c>
      <c r="B33" s="361" t="s">
        <v>911</v>
      </c>
      <c r="C33" s="19"/>
      <c r="D33" s="19"/>
      <c r="E33" s="19"/>
      <c r="F33" s="28"/>
      <c r="G33" s="19"/>
      <c r="H33" s="29"/>
      <c r="I33" s="29"/>
      <c r="J33" s="29"/>
    </row>
    <row r="34" spans="1:10" x14ac:dyDescent="0.2">
      <c r="A34" s="18">
        <v>23</v>
      </c>
      <c r="B34" s="361" t="s">
        <v>912</v>
      </c>
      <c r="C34" s="19"/>
      <c r="D34" s="19"/>
      <c r="E34" s="19"/>
      <c r="F34" s="28"/>
      <c r="G34" s="19"/>
      <c r="H34" s="29"/>
      <c r="I34" s="29"/>
      <c r="J34" s="29"/>
    </row>
    <row r="35" spans="1:10" x14ac:dyDescent="0.2">
      <c r="A35" s="18">
        <v>24</v>
      </c>
      <c r="B35" s="361" t="s">
        <v>913</v>
      </c>
      <c r="C35" s="19"/>
      <c r="D35" s="19"/>
      <c r="E35" s="19"/>
      <c r="F35" s="28"/>
      <c r="G35" s="19"/>
      <c r="H35" s="29"/>
      <c r="I35" s="29"/>
      <c r="J35" s="29"/>
    </row>
    <row r="36" spans="1:10" x14ac:dyDescent="0.2">
      <c r="A36" s="18">
        <v>25</v>
      </c>
      <c r="B36" s="361" t="s">
        <v>919</v>
      </c>
      <c r="C36" s="19"/>
      <c r="D36" s="19"/>
      <c r="E36" s="19"/>
      <c r="F36" s="28"/>
      <c r="G36" s="19"/>
      <c r="H36" s="29"/>
      <c r="I36" s="29"/>
      <c r="J36" s="29"/>
    </row>
    <row r="37" spans="1:10" x14ac:dyDescent="0.2">
      <c r="A37" s="18">
        <v>26</v>
      </c>
      <c r="B37" s="361" t="s">
        <v>914</v>
      </c>
      <c r="C37" s="19"/>
      <c r="D37" s="19"/>
      <c r="E37" s="19"/>
      <c r="F37" s="28"/>
      <c r="G37" s="19"/>
      <c r="H37" s="29"/>
      <c r="I37" s="29"/>
      <c r="J37" s="29"/>
    </row>
    <row r="38" spans="1:10" ht="15" x14ac:dyDescent="0.2">
      <c r="A38" s="18">
        <v>27</v>
      </c>
      <c r="B38" s="362" t="s">
        <v>915</v>
      </c>
      <c r="C38" s="19"/>
      <c r="D38" s="19"/>
      <c r="E38" s="19"/>
      <c r="F38" s="28"/>
      <c r="G38" s="19"/>
      <c r="H38" s="29"/>
      <c r="I38" s="29"/>
      <c r="J38" s="29"/>
    </row>
    <row r="39" spans="1:10" x14ac:dyDescent="0.2">
      <c r="A39" s="3" t="s">
        <v>18</v>
      </c>
      <c r="B39" s="30"/>
      <c r="C39" s="30"/>
      <c r="D39" s="19"/>
      <c r="E39" s="19"/>
      <c r="F39" s="28"/>
      <c r="G39" s="19"/>
      <c r="H39" s="29"/>
      <c r="I39" s="29"/>
      <c r="J39" s="29"/>
    </row>
    <row r="40" spans="1:10" x14ac:dyDescent="0.2">
      <c r="A40" s="11"/>
      <c r="B40" s="31"/>
      <c r="C40" s="31"/>
      <c r="D40" s="22"/>
      <c r="E40" s="22"/>
      <c r="F40" s="22"/>
      <c r="G40" s="22"/>
      <c r="H40" s="22"/>
      <c r="I40" s="22"/>
      <c r="J40" s="22"/>
    </row>
    <row r="41" spans="1:10" x14ac:dyDescent="0.2">
      <c r="A41" s="940" t="s">
        <v>710</v>
      </c>
      <c r="B41" s="940"/>
      <c r="C41" s="940"/>
      <c r="D41" s="940"/>
      <c r="E41" s="940"/>
      <c r="F41" s="940"/>
      <c r="G41" s="940"/>
      <c r="H41" s="940"/>
      <c r="I41" s="22"/>
      <c r="J41" s="22"/>
    </row>
    <row r="42" spans="1:10" x14ac:dyDescent="0.2">
      <c r="A42" s="11"/>
      <c r="B42" s="31"/>
      <c r="C42" s="31"/>
      <c r="D42" s="22"/>
      <c r="E42" s="22"/>
      <c r="F42" s="22"/>
      <c r="G42" s="22"/>
      <c r="H42" s="22"/>
      <c r="I42" s="22"/>
      <c r="J42" s="22"/>
    </row>
    <row r="43" spans="1:10" s="569" customFormat="1" ht="15.75" customHeight="1" x14ac:dyDescent="0.2">
      <c r="A43" s="14"/>
      <c r="B43" s="14"/>
      <c r="C43" s="14"/>
      <c r="D43" s="14"/>
      <c r="E43" s="14"/>
      <c r="F43" s="810" t="s">
        <v>13</v>
      </c>
      <c r="G43" s="810"/>
      <c r="H43" s="810"/>
      <c r="I43" s="810"/>
      <c r="J43" s="810"/>
    </row>
    <row r="44" spans="1:10" s="569" customFormat="1" ht="12.75" customHeight="1" x14ac:dyDescent="0.2">
      <c r="A44" s="563"/>
      <c r="B44" s="563"/>
      <c r="C44" s="563"/>
      <c r="D44" s="563"/>
      <c r="E44" s="563"/>
      <c r="F44" s="810" t="s">
        <v>14</v>
      </c>
      <c r="G44" s="810"/>
      <c r="H44" s="810"/>
      <c r="I44" s="810"/>
      <c r="J44" s="810"/>
    </row>
    <row r="45" spans="1:10" s="569" customFormat="1" ht="12.75" customHeight="1" x14ac:dyDescent="0.2">
      <c r="A45" s="563"/>
      <c r="B45" s="563"/>
      <c r="C45" s="563"/>
      <c r="D45" s="563"/>
      <c r="E45" s="563"/>
      <c r="F45" s="810" t="s">
        <v>918</v>
      </c>
      <c r="G45" s="810"/>
      <c r="H45" s="810"/>
      <c r="I45" s="810"/>
      <c r="J45" s="810"/>
    </row>
    <row r="46" spans="1:10" s="569" customFormat="1" ht="15" x14ac:dyDescent="0.25">
      <c r="A46" s="492" t="s">
        <v>12</v>
      </c>
      <c r="B46" s="14"/>
      <c r="C46" s="14"/>
      <c r="E46" s="14"/>
      <c r="F46" s="207" t="s">
        <v>82</v>
      </c>
      <c r="G46" s="207"/>
      <c r="H46" s="207"/>
      <c r="I46" s="207"/>
      <c r="J46" s="207"/>
    </row>
    <row r="50" spans="1:10" x14ac:dyDescent="0.2">
      <c r="A50" s="941"/>
      <c r="B50" s="941"/>
      <c r="C50" s="941"/>
      <c r="D50" s="941"/>
      <c r="E50" s="941"/>
      <c r="F50" s="941"/>
      <c r="G50" s="941"/>
      <c r="H50" s="941"/>
      <c r="I50" s="941"/>
      <c r="J50" s="941"/>
    </row>
    <row r="52" spans="1:10" x14ac:dyDescent="0.2">
      <c r="A52" s="941"/>
      <c r="B52" s="941"/>
      <c r="C52" s="941"/>
      <c r="D52" s="941"/>
      <c r="E52" s="941"/>
      <c r="F52" s="941"/>
      <c r="G52" s="941"/>
      <c r="H52" s="941"/>
      <c r="I52" s="941"/>
      <c r="J52" s="941"/>
    </row>
  </sheetData>
  <mergeCells count="15">
    <mergeCell ref="E1:I1"/>
    <mergeCell ref="A2:J2"/>
    <mergeCell ref="A3:J3"/>
    <mergeCell ref="A5:J5"/>
    <mergeCell ref="H8:J8"/>
    <mergeCell ref="A50:J50"/>
    <mergeCell ref="A52:J52"/>
    <mergeCell ref="A9:A10"/>
    <mergeCell ref="B9:B10"/>
    <mergeCell ref="C9:F9"/>
    <mergeCell ref="G9:J9"/>
    <mergeCell ref="A41:H41"/>
    <mergeCell ref="F43:J43"/>
    <mergeCell ref="F44:J44"/>
    <mergeCell ref="F45:J45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P52"/>
  <sheetViews>
    <sheetView zoomScaleSheetLayoutView="78" workbookViewId="0">
      <selection activeCell="H8" sqref="H8:J8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870"/>
      <c r="F1" s="870"/>
      <c r="G1" s="870"/>
      <c r="H1" s="870"/>
      <c r="I1" s="870"/>
      <c r="J1" s="130" t="s">
        <v>429</v>
      </c>
    </row>
    <row r="2" spans="1:16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6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6" customFormat="1" ht="14.25" customHeight="1" x14ac:dyDescent="0.2"/>
    <row r="5" spans="1:16" ht="31.5" customHeight="1" x14ac:dyDescent="0.25">
      <c r="A5" s="933" t="s">
        <v>802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ht="15" x14ac:dyDescent="0.3">
      <c r="A8" s="197" t="s">
        <v>917</v>
      </c>
      <c r="B8" s="197" t="s">
        <v>916</v>
      </c>
      <c r="C8" s="32"/>
      <c r="H8" s="925" t="s">
        <v>1186</v>
      </c>
      <c r="I8" s="925"/>
      <c r="J8" s="925"/>
    </row>
    <row r="9" spans="1:16" x14ac:dyDescent="0.2">
      <c r="A9" s="824" t="s">
        <v>2</v>
      </c>
      <c r="B9" s="824" t="s">
        <v>3</v>
      </c>
      <c r="C9" s="818" t="s">
        <v>797</v>
      </c>
      <c r="D9" s="825"/>
      <c r="E9" s="825"/>
      <c r="F9" s="819"/>
      <c r="G9" s="818" t="s">
        <v>101</v>
      </c>
      <c r="H9" s="825"/>
      <c r="I9" s="825"/>
      <c r="J9" s="819"/>
      <c r="O9" s="19"/>
      <c r="P9" s="22"/>
    </row>
    <row r="10" spans="1:16" ht="53.25" customHeight="1" x14ac:dyDescent="0.2">
      <c r="A10" s="824"/>
      <c r="B10" s="824"/>
      <c r="C10" s="5" t="s">
        <v>181</v>
      </c>
      <c r="D10" s="5" t="s">
        <v>16</v>
      </c>
      <c r="E10" s="240" t="s">
        <v>362</v>
      </c>
      <c r="F10" s="7" t="s">
        <v>198</v>
      </c>
      <c r="G10" s="5" t="s">
        <v>181</v>
      </c>
      <c r="H10" s="26" t="s">
        <v>17</v>
      </c>
      <c r="I10" s="102" t="s">
        <v>708</v>
      </c>
      <c r="J10" s="5" t="s">
        <v>709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9">
        <v>8</v>
      </c>
      <c r="I11" s="5">
        <v>9</v>
      </c>
      <c r="J11" s="5">
        <v>10</v>
      </c>
    </row>
    <row r="12" spans="1:16" x14ac:dyDescent="0.2">
      <c r="A12" s="18">
        <v>1</v>
      </c>
      <c r="B12" s="361" t="s">
        <v>890</v>
      </c>
      <c r="C12" s="5"/>
      <c r="D12" s="5"/>
      <c r="E12" s="5"/>
      <c r="F12" s="131"/>
      <c r="G12" s="5"/>
      <c r="H12" s="99"/>
      <c r="I12" s="99"/>
      <c r="J12" s="99"/>
    </row>
    <row r="13" spans="1:16" x14ac:dyDescent="0.2">
      <c r="A13" s="18">
        <v>2</v>
      </c>
      <c r="B13" s="361" t="s">
        <v>891</v>
      </c>
      <c r="C13" s="5"/>
      <c r="D13" s="5"/>
      <c r="E13" s="5"/>
      <c r="F13" s="131"/>
      <c r="G13" s="5"/>
      <c r="H13" s="99"/>
      <c r="I13" s="99"/>
      <c r="J13" s="99"/>
    </row>
    <row r="14" spans="1:16" x14ac:dyDescent="0.2">
      <c r="A14" s="18">
        <v>3</v>
      </c>
      <c r="B14" s="361" t="s">
        <v>892</v>
      </c>
      <c r="C14" s="5"/>
      <c r="D14" s="5"/>
      <c r="E14" s="5"/>
      <c r="F14" s="131"/>
      <c r="G14" s="5"/>
      <c r="H14" s="99"/>
      <c r="I14" s="99"/>
      <c r="J14" s="99"/>
    </row>
    <row r="15" spans="1:16" x14ac:dyDescent="0.2">
      <c r="A15" s="18">
        <v>4</v>
      </c>
      <c r="B15" s="361" t="s">
        <v>893</v>
      </c>
      <c r="C15" s="5"/>
      <c r="D15" s="5"/>
      <c r="E15" s="5"/>
      <c r="F15" s="131"/>
      <c r="G15" s="5"/>
      <c r="H15" s="99"/>
      <c r="I15" s="99"/>
      <c r="J15" s="99"/>
    </row>
    <row r="16" spans="1:16" x14ac:dyDescent="0.2">
      <c r="A16" s="18">
        <v>5</v>
      </c>
      <c r="B16" s="361" t="s">
        <v>894</v>
      </c>
      <c r="C16" s="5"/>
      <c r="D16" s="5"/>
      <c r="E16" s="5"/>
      <c r="F16" s="131"/>
      <c r="G16" s="5"/>
      <c r="H16" s="99"/>
      <c r="I16" s="99"/>
      <c r="J16" s="99"/>
    </row>
    <row r="17" spans="1:10" x14ac:dyDescent="0.2">
      <c r="A17" s="18">
        <v>6</v>
      </c>
      <c r="B17" s="361" t="s">
        <v>895</v>
      </c>
      <c r="C17" s="5"/>
      <c r="D17" s="5"/>
      <c r="E17" s="5"/>
      <c r="F17" s="131"/>
      <c r="G17" s="5"/>
      <c r="H17" s="99"/>
      <c r="I17" s="99"/>
      <c r="J17" s="99"/>
    </row>
    <row r="18" spans="1:10" x14ac:dyDescent="0.2">
      <c r="A18" s="18">
        <v>7</v>
      </c>
      <c r="B18" s="361" t="s">
        <v>896</v>
      </c>
      <c r="C18" s="5"/>
      <c r="D18" s="5"/>
      <c r="E18" s="5"/>
      <c r="F18" s="131"/>
      <c r="G18" s="5"/>
      <c r="H18" s="99"/>
      <c r="I18" s="99"/>
      <c r="J18" s="99"/>
    </row>
    <row r="19" spans="1:10" x14ac:dyDescent="0.2">
      <c r="A19" s="18">
        <v>8</v>
      </c>
      <c r="B19" s="361" t="s">
        <v>897</v>
      </c>
      <c r="C19" s="5"/>
      <c r="D19" s="5"/>
      <c r="E19" s="5"/>
      <c r="F19" s="131"/>
      <c r="G19" s="5"/>
      <c r="H19" s="99"/>
      <c r="I19" s="99"/>
      <c r="J19" s="99"/>
    </row>
    <row r="20" spans="1:10" x14ac:dyDescent="0.2">
      <c r="A20" s="18">
        <v>9</v>
      </c>
      <c r="B20" s="361" t="s">
        <v>898</v>
      </c>
      <c r="C20" s="5"/>
      <c r="D20" s="5"/>
      <c r="E20" s="5"/>
      <c r="F20" s="131"/>
      <c r="G20" s="5"/>
      <c r="H20" s="99"/>
      <c r="I20" s="99"/>
      <c r="J20" s="99"/>
    </row>
    <row r="21" spans="1:10" x14ac:dyDescent="0.2">
      <c r="A21" s="18">
        <v>10</v>
      </c>
      <c r="B21" s="361" t="s">
        <v>899</v>
      </c>
      <c r="C21" s="5"/>
      <c r="D21" s="5"/>
      <c r="E21" s="5"/>
      <c r="F21" s="131"/>
      <c r="G21" s="5"/>
      <c r="H21" s="99"/>
      <c r="I21" s="99"/>
      <c r="J21" s="99"/>
    </row>
    <row r="22" spans="1:10" x14ac:dyDescent="0.2">
      <c r="A22" s="18">
        <v>11</v>
      </c>
      <c r="B22" s="361" t="s">
        <v>900</v>
      </c>
      <c r="C22" s="5"/>
      <c r="D22" s="5"/>
      <c r="E22" s="5"/>
      <c r="F22" s="131"/>
      <c r="G22" s="5"/>
      <c r="H22" s="99"/>
      <c r="I22" s="99"/>
      <c r="J22" s="99"/>
    </row>
    <row r="23" spans="1:10" x14ac:dyDescent="0.2">
      <c r="A23" s="18">
        <v>12</v>
      </c>
      <c r="B23" s="361" t="s">
        <v>901</v>
      </c>
      <c r="C23" s="19"/>
      <c r="D23" s="19"/>
      <c r="E23" s="19"/>
      <c r="F23" s="101"/>
      <c r="G23" s="19"/>
      <c r="H23" s="29"/>
      <c r="I23" s="29"/>
      <c r="J23" s="29"/>
    </row>
    <row r="24" spans="1:10" x14ac:dyDescent="0.2">
      <c r="A24" s="18">
        <v>13</v>
      </c>
      <c r="B24" s="361" t="s">
        <v>902</v>
      </c>
      <c r="C24" s="19"/>
      <c r="D24" s="19"/>
      <c r="E24" s="19"/>
      <c r="F24" s="28"/>
      <c r="G24" s="19"/>
      <c r="H24" s="29"/>
      <c r="I24" s="29"/>
      <c r="J24" s="29"/>
    </row>
    <row r="25" spans="1:10" x14ac:dyDescent="0.2">
      <c r="A25" s="18">
        <v>14</v>
      </c>
      <c r="B25" s="361" t="s">
        <v>903</v>
      </c>
      <c r="C25" s="19"/>
      <c r="D25" s="19"/>
      <c r="E25" s="19" t="s">
        <v>11</v>
      </c>
      <c r="F25" s="28"/>
      <c r="G25" s="19"/>
      <c r="H25" s="29"/>
      <c r="I25" s="29"/>
      <c r="J25" s="29"/>
    </row>
    <row r="26" spans="1:10" x14ac:dyDescent="0.2">
      <c r="A26" s="18">
        <v>15</v>
      </c>
      <c r="B26" s="361" t="s">
        <v>904</v>
      </c>
      <c r="C26" s="19"/>
      <c r="D26" s="19"/>
      <c r="E26" s="19"/>
      <c r="F26" s="28"/>
      <c r="G26" s="19"/>
      <c r="H26" s="29"/>
      <c r="I26" s="29"/>
      <c r="J26" s="29"/>
    </row>
    <row r="27" spans="1:10" x14ac:dyDescent="0.2">
      <c r="A27" s="18">
        <v>16</v>
      </c>
      <c r="B27" s="361" t="s">
        <v>905</v>
      </c>
      <c r="C27" s="19"/>
      <c r="D27" s="19"/>
      <c r="E27" s="19"/>
      <c r="F27" s="28"/>
      <c r="G27" s="19"/>
      <c r="H27" s="29"/>
      <c r="I27" s="29"/>
      <c r="J27" s="29"/>
    </row>
    <row r="28" spans="1:10" x14ac:dyDescent="0.2">
      <c r="A28" s="18">
        <v>17</v>
      </c>
      <c r="B28" s="361" t="s">
        <v>906</v>
      </c>
      <c r="C28" s="19"/>
      <c r="D28" s="19"/>
      <c r="E28" s="19"/>
      <c r="F28" s="28"/>
      <c r="G28" s="19"/>
      <c r="H28" s="29"/>
      <c r="I28" s="29"/>
      <c r="J28" s="29"/>
    </row>
    <row r="29" spans="1:10" x14ac:dyDescent="0.2">
      <c r="A29" s="18">
        <v>18</v>
      </c>
      <c r="B29" s="361" t="s">
        <v>907</v>
      </c>
      <c r="C29" s="19"/>
      <c r="D29" s="19"/>
      <c r="E29" s="19"/>
      <c r="F29" s="28"/>
      <c r="G29" s="19"/>
      <c r="H29" s="29"/>
      <c r="I29" s="29"/>
      <c r="J29" s="29"/>
    </row>
    <row r="30" spans="1:10" x14ac:dyDescent="0.2">
      <c r="A30" s="18">
        <v>19</v>
      </c>
      <c r="B30" s="361" t="s">
        <v>908</v>
      </c>
      <c r="C30" s="19"/>
      <c r="D30" s="19"/>
      <c r="E30" s="19"/>
      <c r="F30" s="28"/>
      <c r="G30" s="19"/>
      <c r="H30" s="29"/>
      <c r="I30" s="29"/>
      <c r="J30" s="29"/>
    </row>
    <row r="31" spans="1:10" x14ac:dyDescent="0.2">
      <c r="A31" s="18">
        <v>20</v>
      </c>
      <c r="B31" s="361" t="s">
        <v>909</v>
      </c>
      <c r="C31" s="19"/>
      <c r="D31" s="19"/>
      <c r="E31" s="19"/>
      <c r="F31" s="28"/>
      <c r="G31" s="19"/>
      <c r="H31" s="29"/>
      <c r="I31" s="29"/>
      <c r="J31" s="29"/>
    </row>
    <row r="32" spans="1:10" x14ac:dyDescent="0.2">
      <c r="A32" s="18">
        <v>21</v>
      </c>
      <c r="B32" s="361" t="s">
        <v>910</v>
      </c>
      <c r="C32" s="19"/>
      <c r="D32" s="19"/>
      <c r="E32" s="19"/>
      <c r="F32" s="28"/>
      <c r="G32" s="19"/>
      <c r="H32" s="29"/>
      <c r="I32" s="29"/>
      <c r="J32" s="29"/>
    </row>
    <row r="33" spans="1:10" x14ac:dyDescent="0.2">
      <c r="A33" s="18">
        <v>22</v>
      </c>
      <c r="B33" s="361" t="s">
        <v>911</v>
      </c>
      <c r="C33" s="19"/>
      <c r="D33" s="19"/>
      <c r="E33" s="19"/>
      <c r="F33" s="28"/>
      <c r="G33" s="19"/>
      <c r="H33" s="29"/>
      <c r="I33" s="29"/>
      <c r="J33" s="29"/>
    </row>
    <row r="34" spans="1:10" x14ac:dyDescent="0.2">
      <c r="A34" s="18">
        <v>23</v>
      </c>
      <c r="B34" s="361" t="s">
        <v>912</v>
      </c>
      <c r="C34" s="19"/>
      <c r="D34" s="19"/>
      <c r="E34" s="19"/>
      <c r="F34" s="28"/>
      <c r="G34" s="19"/>
      <c r="H34" s="29"/>
      <c r="I34" s="29"/>
      <c r="J34" s="29"/>
    </row>
    <row r="35" spans="1:10" x14ac:dyDescent="0.2">
      <c r="A35" s="18">
        <v>24</v>
      </c>
      <c r="B35" s="361" t="s">
        <v>913</v>
      </c>
      <c r="C35" s="19"/>
      <c r="D35" s="19"/>
      <c r="E35" s="19"/>
      <c r="F35" s="28"/>
      <c r="G35" s="19"/>
      <c r="H35" s="29"/>
      <c r="I35" s="29"/>
      <c r="J35" s="29"/>
    </row>
    <row r="36" spans="1:10" x14ac:dyDescent="0.2">
      <c r="A36" s="18">
        <v>25</v>
      </c>
      <c r="B36" s="361" t="s">
        <v>919</v>
      </c>
      <c r="C36" s="19"/>
      <c r="D36" s="19"/>
      <c r="E36" s="19"/>
      <c r="F36" s="28"/>
      <c r="G36" s="19"/>
      <c r="H36" s="29"/>
      <c r="I36" s="29"/>
      <c r="J36" s="29"/>
    </row>
    <row r="37" spans="1:10" x14ac:dyDescent="0.2">
      <c r="A37" s="18">
        <v>26</v>
      </c>
      <c r="B37" s="361" t="s">
        <v>914</v>
      </c>
      <c r="C37" s="19"/>
      <c r="D37" s="19"/>
      <c r="E37" s="19"/>
      <c r="F37" s="28"/>
      <c r="G37" s="19"/>
      <c r="H37" s="29"/>
      <c r="I37" s="29"/>
      <c r="J37" s="29"/>
    </row>
    <row r="38" spans="1:10" ht="15" x14ac:dyDescent="0.2">
      <c r="A38" s="18">
        <v>27</v>
      </c>
      <c r="B38" s="362" t="s">
        <v>915</v>
      </c>
      <c r="C38" s="19"/>
      <c r="D38" s="19"/>
      <c r="E38" s="19"/>
      <c r="F38" s="28"/>
      <c r="G38" s="19"/>
      <c r="H38" s="29"/>
      <c r="I38" s="29"/>
      <c r="J38" s="29"/>
    </row>
    <row r="39" spans="1:10" x14ac:dyDescent="0.2">
      <c r="A39" s="3" t="s">
        <v>18</v>
      </c>
      <c r="B39" s="30"/>
      <c r="C39" s="30"/>
      <c r="D39" s="19"/>
      <c r="E39" s="19"/>
      <c r="F39" s="28"/>
      <c r="G39" s="19"/>
      <c r="H39" s="29"/>
      <c r="I39" s="29"/>
      <c r="J39" s="29"/>
    </row>
    <row r="40" spans="1:10" x14ac:dyDescent="0.2">
      <c r="A40" s="11"/>
      <c r="B40" s="31"/>
      <c r="C40" s="31"/>
      <c r="D40" s="22"/>
      <c r="E40" s="22"/>
      <c r="F40" s="22"/>
      <c r="G40" s="22"/>
      <c r="H40" s="22"/>
      <c r="I40" s="22"/>
      <c r="J40" s="22"/>
    </row>
    <row r="41" spans="1:10" x14ac:dyDescent="0.2">
      <c r="A41" s="940" t="s">
        <v>710</v>
      </c>
      <c r="B41" s="940"/>
      <c r="C41" s="940"/>
      <c r="D41" s="940"/>
      <c r="E41" s="940"/>
      <c r="F41" s="940"/>
      <c r="G41" s="940"/>
      <c r="H41" s="940"/>
      <c r="I41" s="22"/>
      <c r="J41" s="22"/>
    </row>
    <row r="42" spans="1:10" x14ac:dyDescent="0.2">
      <c r="A42" s="11"/>
      <c r="B42" s="31"/>
      <c r="C42" s="31"/>
      <c r="D42" s="22"/>
      <c r="E42" s="22"/>
      <c r="F42" s="22"/>
      <c r="G42" s="22"/>
      <c r="H42" s="22"/>
      <c r="I42" s="22"/>
      <c r="J42" s="22"/>
    </row>
    <row r="43" spans="1:10" s="569" customFormat="1" ht="15.75" customHeight="1" x14ac:dyDescent="0.2">
      <c r="A43" s="14"/>
      <c r="B43" s="14"/>
      <c r="C43" s="14"/>
      <c r="D43" s="14"/>
      <c r="E43" s="14"/>
      <c r="F43" s="14"/>
      <c r="G43" s="14"/>
      <c r="I43" s="563"/>
      <c r="J43" s="563"/>
    </row>
    <row r="44" spans="1:10" s="569" customFormat="1" ht="12.75" customHeight="1" x14ac:dyDescent="0.2">
      <c r="A44" s="563"/>
      <c r="B44" s="563"/>
      <c r="C44" s="563"/>
      <c r="D44" s="563"/>
      <c r="E44" s="563"/>
      <c r="F44" s="810" t="s">
        <v>13</v>
      </c>
      <c r="G44" s="810"/>
      <c r="H44" s="810"/>
      <c r="I44" s="810"/>
      <c r="J44" s="810"/>
    </row>
    <row r="45" spans="1:10" s="569" customFormat="1" ht="12.75" customHeight="1" x14ac:dyDescent="0.2">
      <c r="A45" s="563"/>
      <c r="B45" s="563"/>
      <c r="C45" s="563"/>
      <c r="D45" s="563"/>
      <c r="E45" s="563"/>
      <c r="F45" s="810" t="s">
        <v>14</v>
      </c>
      <c r="G45" s="810"/>
      <c r="H45" s="810"/>
      <c r="I45" s="810"/>
      <c r="J45" s="810"/>
    </row>
    <row r="46" spans="1:10" s="569" customFormat="1" x14ac:dyDescent="0.2">
      <c r="A46" s="14"/>
      <c r="B46" s="14"/>
      <c r="C46" s="14"/>
      <c r="E46" s="14"/>
      <c r="F46" s="810" t="s">
        <v>918</v>
      </c>
      <c r="G46" s="810"/>
      <c r="H46" s="810"/>
      <c r="I46" s="810"/>
      <c r="J46" s="810"/>
    </row>
    <row r="47" spans="1:10" ht="15" x14ac:dyDescent="0.25">
      <c r="A47" s="492" t="s">
        <v>12</v>
      </c>
      <c r="F47" s="207" t="s">
        <v>82</v>
      </c>
      <c r="G47" s="207"/>
      <c r="H47" s="207"/>
      <c r="I47" s="207"/>
      <c r="J47" s="207"/>
    </row>
    <row r="50" spans="1:10" x14ac:dyDescent="0.2">
      <c r="A50" s="941"/>
      <c r="B50" s="941"/>
      <c r="C50" s="941"/>
      <c r="D50" s="941"/>
      <c r="E50" s="941"/>
      <c r="F50" s="941"/>
      <c r="G50" s="941"/>
      <c r="H50" s="941"/>
      <c r="I50" s="941"/>
      <c r="J50" s="941"/>
    </row>
    <row r="52" spans="1:10" x14ac:dyDescent="0.2">
      <c r="A52" s="941"/>
      <c r="B52" s="941"/>
      <c r="C52" s="941"/>
      <c r="D52" s="941"/>
      <c r="E52" s="941"/>
      <c r="F52" s="941"/>
      <c r="G52" s="941"/>
      <c r="H52" s="941"/>
      <c r="I52" s="941"/>
      <c r="J52" s="941"/>
    </row>
  </sheetData>
  <mergeCells count="15">
    <mergeCell ref="E1:I1"/>
    <mergeCell ref="A2:J2"/>
    <mergeCell ref="A3:J3"/>
    <mergeCell ref="A5:J5"/>
    <mergeCell ref="H8:J8"/>
    <mergeCell ref="A50:J50"/>
    <mergeCell ref="A52:J52"/>
    <mergeCell ref="A9:A10"/>
    <mergeCell ref="B9:B10"/>
    <mergeCell ref="C9:F9"/>
    <mergeCell ref="G9:J9"/>
    <mergeCell ref="A41:H41"/>
    <mergeCell ref="F44:J44"/>
    <mergeCell ref="F45:J45"/>
    <mergeCell ref="F46:J46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69"/>
  <sheetViews>
    <sheetView topLeftCell="A55" zoomScaleSheetLayoutView="120" workbookViewId="0">
      <selection activeCell="C69" sqref="C69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808" t="s">
        <v>548</v>
      </c>
      <c r="B1" s="808"/>
      <c r="C1" s="808"/>
      <c r="D1" s="808"/>
      <c r="E1" s="285"/>
      <c r="F1" s="285"/>
      <c r="G1" s="285"/>
    </row>
    <row r="2" spans="1:7" x14ac:dyDescent="0.2">
      <c r="A2" s="3" t="s">
        <v>72</v>
      </c>
      <c r="B2" s="3" t="s">
        <v>549</v>
      </c>
      <c r="C2" s="3" t="s">
        <v>550</v>
      </c>
    </row>
    <row r="3" spans="1:7" x14ac:dyDescent="0.2">
      <c r="A3" s="8">
        <v>1</v>
      </c>
      <c r="B3" s="314" t="s">
        <v>551</v>
      </c>
      <c r="C3" s="314" t="s">
        <v>758</v>
      </c>
    </row>
    <row r="4" spans="1:7" x14ac:dyDescent="0.2">
      <c r="A4" s="8">
        <v>2</v>
      </c>
      <c r="B4" s="314" t="s">
        <v>552</v>
      </c>
      <c r="C4" s="314" t="s">
        <v>759</v>
      </c>
    </row>
    <row r="5" spans="1:7" x14ac:dyDescent="0.2">
      <c r="A5" s="8">
        <v>3</v>
      </c>
      <c r="B5" s="314" t="s">
        <v>553</v>
      </c>
      <c r="C5" s="314" t="s">
        <v>760</v>
      </c>
    </row>
    <row r="6" spans="1:7" x14ac:dyDescent="0.2">
      <c r="A6" s="8">
        <v>4</v>
      </c>
      <c r="B6" s="314" t="s">
        <v>882</v>
      </c>
      <c r="C6" s="314" t="s">
        <v>883</v>
      </c>
    </row>
    <row r="7" spans="1:7" x14ac:dyDescent="0.2">
      <c r="A7" s="8">
        <v>5</v>
      </c>
      <c r="B7" s="314" t="s">
        <v>554</v>
      </c>
      <c r="C7" s="314" t="s">
        <v>761</v>
      </c>
    </row>
    <row r="8" spans="1:7" x14ac:dyDescent="0.2">
      <c r="A8" s="8">
        <v>6</v>
      </c>
      <c r="B8" s="314" t="s">
        <v>555</v>
      </c>
      <c r="C8" s="314" t="s">
        <v>762</v>
      </c>
    </row>
    <row r="9" spans="1:7" x14ac:dyDescent="0.2">
      <c r="A9" s="8">
        <v>7</v>
      </c>
      <c r="B9" s="314" t="s">
        <v>556</v>
      </c>
      <c r="C9" s="314" t="s">
        <v>763</v>
      </c>
    </row>
    <row r="10" spans="1:7" x14ac:dyDescent="0.2">
      <c r="A10" s="8">
        <v>8</v>
      </c>
      <c r="B10" s="314" t="s">
        <v>557</v>
      </c>
      <c r="C10" s="314" t="s">
        <v>764</v>
      </c>
    </row>
    <row r="11" spans="1:7" x14ac:dyDescent="0.2">
      <c r="A11" s="8">
        <v>9</v>
      </c>
      <c r="B11" s="314" t="s">
        <v>558</v>
      </c>
      <c r="C11" s="314" t="s">
        <v>765</v>
      </c>
    </row>
    <row r="12" spans="1:7" x14ac:dyDescent="0.2">
      <c r="A12" s="8">
        <v>10</v>
      </c>
      <c r="B12" s="314" t="s">
        <v>559</v>
      </c>
      <c r="C12" s="314" t="s">
        <v>766</v>
      </c>
    </row>
    <row r="13" spans="1:7" x14ac:dyDescent="0.2">
      <c r="A13" s="8">
        <v>11</v>
      </c>
      <c r="B13" s="314" t="s">
        <v>676</v>
      </c>
      <c r="C13" s="314" t="s">
        <v>677</v>
      </c>
    </row>
    <row r="14" spans="1:7" x14ac:dyDescent="0.2">
      <c r="A14" s="8">
        <v>12</v>
      </c>
      <c r="B14" s="314" t="s">
        <v>560</v>
      </c>
      <c r="C14" s="314" t="s">
        <v>767</v>
      </c>
    </row>
    <row r="15" spans="1:7" x14ac:dyDescent="0.2">
      <c r="A15" s="8">
        <v>13</v>
      </c>
      <c r="B15" s="314" t="s">
        <v>561</v>
      </c>
      <c r="C15" s="314" t="s">
        <v>768</v>
      </c>
    </row>
    <row r="16" spans="1:7" x14ac:dyDescent="0.2">
      <c r="A16" s="8">
        <v>14</v>
      </c>
      <c r="B16" s="314" t="s">
        <v>562</v>
      </c>
      <c r="C16" s="314" t="s">
        <v>769</v>
      </c>
    </row>
    <row r="17" spans="1:3" x14ac:dyDescent="0.2">
      <c r="A17" s="8">
        <v>15</v>
      </c>
      <c r="B17" s="314" t="s">
        <v>563</v>
      </c>
      <c r="C17" s="314" t="s">
        <v>770</v>
      </c>
    </row>
    <row r="18" spans="1:3" x14ac:dyDescent="0.2">
      <c r="A18" s="8">
        <v>16</v>
      </c>
      <c r="B18" s="314" t="s">
        <v>564</v>
      </c>
      <c r="C18" s="314" t="s">
        <v>771</v>
      </c>
    </row>
    <row r="19" spans="1:3" x14ac:dyDescent="0.2">
      <c r="A19" s="8">
        <v>17</v>
      </c>
      <c r="B19" s="314" t="s">
        <v>565</v>
      </c>
      <c r="C19" s="314" t="s">
        <v>772</v>
      </c>
    </row>
    <row r="20" spans="1:3" x14ac:dyDescent="0.2">
      <c r="A20" s="8">
        <v>18</v>
      </c>
      <c r="B20" s="314" t="s">
        <v>566</v>
      </c>
      <c r="C20" s="314" t="s">
        <v>773</v>
      </c>
    </row>
    <row r="21" spans="1:3" x14ac:dyDescent="0.2">
      <c r="A21" s="8">
        <v>19</v>
      </c>
      <c r="B21" s="314" t="s">
        <v>567</v>
      </c>
      <c r="C21" s="314" t="s">
        <v>774</v>
      </c>
    </row>
    <row r="22" spans="1:3" x14ac:dyDescent="0.2">
      <c r="A22" s="8">
        <v>20</v>
      </c>
      <c r="B22" s="314" t="s">
        <v>568</v>
      </c>
      <c r="C22" s="314" t="s">
        <v>775</v>
      </c>
    </row>
    <row r="23" spans="1:3" x14ac:dyDescent="0.2">
      <c r="A23" s="8">
        <v>21</v>
      </c>
      <c r="B23" s="314" t="s">
        <v>569</v>
      </c>
      <c r="C23" s="314" t="s">
        <v>776</v>
      </c>
    </row>
    <row r="24" spans="1:3" x14ac:dyDescent="0.2">
      <c r="A24" s="8">
        <v>22</v>
      </c>
      <c r="B24" s="314" t="s">
        <v>570</v>
      </c>
      <c r="C24" s="314" t="s">
        <v>777</v>
      </c>
    </row>
    <row r="25" spans="1:3" x14ac:dyDescent="0.2">
      <c r="A25" s="8">
        <v>23</v>
      </c>
      <c r="B25" s="314" t="s">
        <v>571</v>
      </c>
      <c r="C25" s="314" t="s">
        <v>778</v>
      </c>
    </row>
    <row r="26" spans="1:3" x14ac:dyDescent="0.2">
      <c r="A26" s="8">
        <v>24</v>
      </c>
      <c r="B26" s="314" t="s">
        <v>572</v>
      </c>
      <c r="C26" s="314" t="s">
        <v>779</v>
      </c>
    </row>
    <row r="27" spans="1:3" x14ac:dyDescent="0.2">
      <c r="A27" s="8">
        <v>25</v>
      </c>
      <c r="B27" s="314" t="s">
        <v>573</v>
      </c>
      <c r="C27" s="314" t="s">
        <v>780</v>
      </c>
    </row>
    <row r="28" spans="1:3" x14ac:dyDescent="0.2">
      <c r="A28" s="8">
        <v>26</v>
      </c>
      <c r="B28" s="314" t="s">
        <v>574</v>
      </c>
      <c r="C28" s="314" t="s">
        <v>781</v>
      </c>
    </row>
    <row r="29" spans="1:3" x14ac:dyDescent="0.2">
      <c r="A29" s="8">
        <v>27</v>
      </c>
      <c r="B29" s="314" t="s">
        <v>575</v>
      </c>
      <c r="C29" s="314" t="s">
        <v>782</v>
      </c>
    </row>
    <row r="30" spans="1:3" x14ac:dyDescent="0.2">
      <c r="A30" s="8">
        <v>28</v>
      </c>
      <c r="B30" s="314" t="s">
        <v>576</v>
      </c>
      <c r="C30" s="314" t="s">
        <v>577</v>
      </c>
    </row>
    <row r="31" spans="1:3" x14ac:dyDescent="0.2">
      <c r="A31" s="8">
        <v>29</v>
      </c>
      <c r="B31" s="314" t="s">
        <v>578</v>
      </c>
      <c r="C31" s="314" t="s">
        <v>579</v>
      </c>
    </row>
    <row r="32" spans="1:3" x14ac:dyDescent="0.2">
      <c r="A32" s="8">
        <v>30</v>
      </c>
      <c r="B32" s="314" t="s">
        <v>580</v>
      </c>
      <c r="C32" s="314" t="s">
        <v>581</v>
      </c>
    </row>
    <row r="33" spans="1:3" x14ac:dyDescent="0.2">
      <c r="A33" s="8">
        <v>31</v>
      </c>
      <c r="B33" s="314" t="s">
        <v>675</v>
      </c>
      <c r="C33" s="314" t="s">
        <v>674</v>
      </c>
    </row>
    <row r="34" spans="1:3" x14ac:dyDescent="0.2">
      <c r="A34" s="8">
        <v>32</v>
      </c>
      <c r="B34" s="314" t="s">
        <v>722</v>
      </c>
      <c r="C34" s="314" t="s">
        <v>723</v>
      </c>
    </row>
    <row r="35" spans="1:3" x14ac:dyDescent="0.2">
      <c r="A35" s="8">
        <v>33</v>
      </c>
      <c r="B35" s="314" t="s">
        <v>582</v>
      </c>
      <c r="C35" s="314" t="s">
        <v>583</v>
      </c>
    </row>
    <row r="36" spans="1:3" x14ac:dyDescent="0.2">
      <c r="A36" s="8">
        <v>34</v>
      </c>
      <c r="B36" s="314" t="s">
        <v>584</v>
      </c>
      <c r="C36" s="314" t="s">
        <v>583</v>
      </c>
    </row>
    <row r="37" spans="1:3" x14ac:dyDescent="0.2">
      <c r="A37" s="8">
        <v>35</v>
      </c>
      <c r="B37" s="314" t="s">
        <v>585</v>
      </c>
      <c r="C37" s="314" t="s">
        <v>586</v>
      </c>
    </row>
    <row r="38" spans="1:3" x14ac:dyDescent="0.2">
      <c r="A38" s="8">
        <v>36</v>
      </c>
      <c r="B38" s="314" t="s">
        <v>587</v>
      </c>
      <c r="C38" s="314" t="s">
        <v>588</v>
      </c>
    </row>
    <row r="39" spans="1:3" x14ac:dyDescent="0.2">
      <c r="A39" s="8">
        <v>37</v>
      </c>
      <c r="B39" s="314" t="s">
        <v>589</v>
      </c>
      <c r="C39" s="314" t="s">
        <v>590</v>
      </c>
    </row>
    <row r="40" spans="1:3" x14ac:dyDescent="0.2">
      <c r="A40" s="8">
        <v>38</v>
      </c>
      <c r="B40" s="314" t="s">
        <v>591</v>
      </c>
      <c r="C40" s="314" t="s">
        <v>592</v>
      </c>
    </row>
    <row r="41" spans="1:3" x14ac:dyDescent="0.2">
      <c r="A41" s="8">
        <v>39</v>
      </c>
      <c r="B41" s="314" t="s">
        <v>593</v>
      </c>
      <c r="C41" s="314" t="s">
        <v>594</v>
      </c>
    </row>
    <row r="42" spans="1:3" x14ac:dyDescent="0.2">
      <c r="A42" s="8">
        <v>40</v>
      </c>
      <c r="B42" s="314" t="s">
        <v>595</v>
      </c>
      <c r="C42" s="314" t="s">
        <v>596</v>
      </c>
    </row>
    <row r="43" spans="1:3" x14ac:dyDescent="0.2">
      <c r="A43" s="8">
        <v>41</v>
      </c>
      <c r="B43" s="314" t="s">
        <v>597</v>
      </c>
      <c r="C43" s="314" t="s">
        <v>598</v>
      </c>
    </row>
    <row r="44" spans="1:3" x14ac:dyDescent="0.2">
      <c r="A44" s="8">
        <v>42</v>
      </c>
      <c r="B44" s="314" t="s">
        <v>599</v>
      </c>
      <c r="C44" s="314" t="s">
        <v>783</v>
      </c>
    </row>
    <row r="45" spans="1:3" x14ac:dyDescent="0.2">
      <c r="A45" s="8">
        <v>43</v>
      </c>
      <c r="B45" s="314" t="s">
        <v>600</v>
      </c>
      <c r="C45" s="314" t="s">
        <v>601</v>
      </c>
    </row>
    <row r="46" spans="1:3" x14ac:dyDescent="0.2">
      <c r="A46" s="8">
        <v>44</v>
      </c>
      <c r="B46" s="314" t="s">
        <v>602</v>
      </c>
      <c r="C46" s="314" t="s">
        <v>603</v>
      </c>
    </row>
    <row r="47" spans="1:3" x14ac:dyDescent="0.2">
      <c r="A47" s="8">
        <v>45</v>
      </c>
      <c r="B47" s="314" t="s">
        <v>604</v>
      </c>
      <c r="C47" s="314" t="s">
        <v>605</v>
      </c>
    </row>
    <row r="48" spans="1:3" x14ac:dyDescent="0.2">
      <c r="A48" s="8">
        <v>46</v>
      </c>
      <c r="B48" s="314" t="s">
        <v>606</v>
      </c>
      <c r="C48" s="314" t="s">
        <v>607</v>
      </c>
    </row>
    <row r="49" spans="1:3" x14ac:dyDescent="0.2">
      <c r="A49" s="8">
        <v>47</v>
      </c>
      <c r="B49" s="314" t="s">
        <v>608</v>
      </c>
      <c r="C49" s="314" t="s">
        <v>609</v>
      </c>
    </row>
    <row r="50" spans="1:3" x14ac:dyDescent="0.2">
      <c r="A50" s="8">
        <v>48</v>
      </c>
      <c r="B50" s="314" t="s">
        <v>610</v>
      </c>
      <c r="C50" s="314" t="s">
        <v>784</v>
      </c>
    </row>
    <row r="51" spans="1:3" x14ac:dyDescent="0.2">
      <c r="A51" s="8">
        <v>49</v>
      </c>
      <c r="B51" s="314" t="s">
        <v>611</v>
      </c>
      <c r="C51" s="314" t="s">
        <v>785</v>
      </c>
    </row>
    <row r="52" spans="1:3" x14ac:dyDescent="0.2">
      <c r="A52" s="8">
        <v>50</v>
      </c>
      <c r="B52" s="314" t="s">
        <v>612</v>
      </c>
      <c r="C52" s="314" t="s">
        <v>613</v>
      </c>
    </row>
    <row r="53" spans="1:3" x14ac:dyDescent="0.2">
      <c r="A53" s="8">
        <v>51</v>
      </c>
      <c r="B53" s="314" t="s">
        <v>614</v>
      </c>
      <c r="C53" s="314" t="s">
        <v>615</v>
      </c>
    </row>
    <row r="54" spans="1:3" x14ac:dyDescent="0.2">
      <c r="A54" s="8">
        <v>52</v>
      </c>
      <c r="B54" s="314" t="s">
        <v>616</v>
      </c>
      <c r="C54" s="314" t="s">
        <v>725</v>
      </c>
    </row>
    <row r="55" spans="1:3" x14ac:dyDescent="0.2">
      <c r="A55" s="8">
        <v>53</v>
      </c>
      <c r="B55" s="314" t="s">
        <v>617</v>
      </c>
      <c r="C55" s="314" t="s">
        <v>726</v>
      </c>
    </row>
    <row r="56" spans="1:3" x14ac:dyDescent="0.2">
      <c r="A56" s="8">
        <v>54</v>
      </c>
      <c r="B56" s="314" t="s">
        <v>618</v>
      </c>
      <c r="C56" s="314" t="s">
        <v>727</v>
      </c>
    </row>
    <row r="57" spans="1:3" x14ac:dyDescent="0.2">
      <c r="A57" s="8">
        <v>55</v>
      </c>
      <c r="B57" s="314" t="s">
        <v>619</v>
      </c>
      <c r="C57" s="314" t="s">
        <v>728</v>
      </c>
    </row>
    <row r="58" spans="1:3" x14ac:dyDescent="0.2">
      <c r="A58" s="8">
        <v>56</v>
      </c>
      <c r="B58" s="314" t="s">
        <v>620</v>
      </c>
      <c r="C58" s="314" t="s">
        <v>729</v>
      </c>
    </row>
    <row r="59" spans="1:3" x14ac:dyDescent="0.2">
      <c r="A59" s="8">
        <v>57</v>
      </c>
      <c r="B59" s="314" t="s">
        <v>621</v>
      </c>
      <c r="C59" s="314" t="s">
        <v>730</v>
      </c>
    </row>
    <row r="60" spans="1:3" x14ac:dyDescent="0.2">
      <c r="A60" s="8">
        <v>58</v>
      </c>
      <c r="B60" s="314" t="s">
        <v>622</v>
      </c>
      <c r="C60" s="314" t="s">
        <v>731</v>
      </c>
    </row>
    <row r="61" spans="1:3" x14ac:dyDescent="0.2">
      <c r="A61" s="8">
        <v>59</v>
      </c>
      <c r="B61" s="314" t="s">
        <v>623</v>
      </c>
      <c r="C61" s="314" t="s">
        <v>732</v>
      </c>
    </row>
    <row r="62" spans="1:3" x14ac:dyDescent="0.2">
      <c r="A62" s="8">
        <v>60</v>
      </c>
      <c r="B62" s="314" t="s">
        <v>624</v>
      </c>
      <c r="C62" s="314" t="s">
        <v>733</v>
      </c>
    </row>
    <row r="63" spans="1:3" x14ac:dyDescent="0.2">
      <c r="A63" s="8">
        <v>61</v>
      </c>
      <c r="B63" s="314" t="s">
        <v>694</v>
      </c>
      <c r="C63" s="314" t="s">
        <v>698</v>
      </c>
    </row>
    <row r="64" spans="1:3" x14ac:dyDescent="0.2">
      <c r="A64" s="8">
        <v>62</v>
      </c>
      <c r="B64" s="314" t="s">
        <v>625</v>
      </c>
      <c r="C64" s="314" t="s">
        <v>734</v>
      </c>
    </row>
    <row r="65" spans="1:3" x14ac:dyDescent="0.2">
      <c r="A65" s="8">
        <v>63</v>
      </c>
      <c r="B65" s="315" t="s">
        <v>699</v>
      </c>
      <c r="C65" s="314" t="s">
        <v>735</v>
      </c>
    </row>
    <row r="66" spans="1:3" x14ac:dyDescent="0.2">
      <c r="A66" s="8">
        <v>64</v>
      </c>
      <c r="B66" s="314" t="s">
        <v>626</v>
      </c>
      <c r="C66" s="314" t="s">
        <v>736</v>
      </c>
    </row>
    <row r="67" spans="1:3" x14ac:dyDescent="0.2">
      <c r="A67" s="8">
        <v>65</v>
      </c>
      <c r="B67" s="314" t="s">
        <v>627</v>
      </c>
      <c r="C67" s="314" t="s">
        <v>737</v>
      </c>
    </row>
    <row r="68" spans="1:3" x14ac:dyDescent="0.2">
      <c r="A68" s="8">
        <v>66</v>
      </c>
      <c r="B68" s="316" t="s">
        <v>678</v>
      </c>
      <c r="C68" s="316" t="s">
        <v>786</v>
      </c>
    </row>
    <row r="69" spans="1:3" x14ac:dyDescent="0.2">
      <c r="A69" s="8">
        <v>67</v>
      </c>
      <c r="B69" s="316" t="s">
        <v>679</v>
      </c>
      <c r="C69" s="316" t="s">
        <v>771</v>
      </c>
    </row>
  </sheetData>
  <mergeCells count="1">
    <mergeCell ref="A1:D1"/>
  </mergeCells>
  <hyperlinks>
    <hyperlink ref="B3:C3" location="'AT-1-Gen_Info '!A1" display="AT- 1" xr:uid="{00000000-0004-0000-0100-000000000000}"/>
    <hyperlink ref="B4:C4" location="'AT-2-S1 BUDGET'!A1" display="AT - 2" xr:uid="{00000000-0004-0000-0100-000001000000}"/>
    <hyperlink ref="B5:C5" location="AT_2A_fundflow!A1" display="AT - 2 A" xr:uid="{00000000-0004-0000-0100-000002000000}"/>
    <hyperlink ref="B6:C6" location="'AT-2B_DBT'!A1" display="AT - 2 B" xr:uid="{00000000-0004-0000-0100-000003000000}"/>
    <hyperlink ref="B7:C7" location="'AT-3'!A1" display="AT - 3" xr:uid="{00000000-0004-0000-0100-000004000000}"/>
    <hyperlink ref="B8:C8" location="'AT3A_cvrg(Insti)_PY'!A1" display="AT- 3 A" xr:uid="{00000000-0004-0000-0100-000005000000}"/>
    <hyperlink ref="B9:C9" location="'AT3B_cvrg(Insti)_UPY '!A1" display="AT- 3 B" xr:uid="{00000000-0004-0000-0100-000006000000}"/>
    <hyperlink ref="B10:C10" location="'AT3C_cvrg(Insti)_UPY '!A1" display="AT-3 C" xr:uid="{00000000-0004-0000-0100-000007000000}"/>
    <hyperlink ref="B11:C11" location="'AT-4B'!A1" display="AT - 4" xr:uid="{00000000-0004-0000-0100-000008000000}"/>
    <hyperlink ref="B12:C12" location="'enrolment vs availed_UPY'!A1" display="AT - 4 A" xr:uid="{00000000-0004-0000-0100-000009000000}"/>
    <hyperlink ref="B13:C13" location="'AT-4B'!A1" display="AT - 4 B" xr:uid="{00000000-0004-0000-0100-00000A000000}"/>
    <hyperlink ref="B14:C14" location="T5_PLAN_vs_PRFM!A1" display="AT - 5" xr:uid="{00000000-0004-0000-0100-00000B000000}"/>
    <hyperlink ref="B15:C15" location="'T5A_PLAN_vs_PRFM '!A1" display="AT - 5 A" xr:uid="{00000000-0004-0000-0100-00000C000000}"/>
    <hyperlink ref="B16:C16" location="'T5B_PLAN_vs_PRFM  (2)'!A1" display="AT - 5 B" xr:uid="{00000000-0004-0000-0100-00000D000000}"/>
    <hyperlink ref="B17:C17" location="'T5C_Drought_PLAN_vs_PRFM '!A1" display="AT - 5 C" xr:uid="{00000000-0004-0000-0100-00000E000000}"/>
    <hyperlink ref="B18:C18" location="'T5D_Drought_PLAN_vs_PRFM  '!A1" display="AT - 5 D" xr:uid="{00000000-0004-0000-0100-00000F000000}"/>
    <hyperlink ref="B19:C19" location="T6_FG_py_Utlsn!A1" display="AT - 6" xr:uid="{00000000-0004-0000-0100-000010000000}"/>
    <hyperlink ref="B20:C20" location="'T6A_FG_Upy_Utlsn '!A1" display="AT - 6 A" xr:uid="{00000000-0004-0000-0100-000011000000}"/>
    <hyperlink ref="B21:C21" location="T6B_Pay_FG_FCI_Pry!A1" display="AT - 6 B" xr:uid="{00000000-0004-0000-0100-000012000000}"/>
    <hyperlink ref="B22:C22" location="T6C_Coarse_Grain!A1" display="AT - 6 C" xr:uid="{00000000-0004-0000-0100-000013000000}"/>
    <hyperlink ref="B23:C23" location="T7_CC_PY_Utlsn!A1" display="AT - 7" xr:uid="{00000000-0004-0000-0100-000014000000}"/>
    <hyperlink ref="B24:C24" location="'T7ACC_UPY_Utlsn '!A1" display="AT - 7 A" xr:uid="{00000000-0004-0000-0100-000015000000}"/>
    <hyperlink ref="B25:C25" location="'AT-8_Hon_CCH_Pry'!A1" display="AT - 8" xr:uid="{00000000-0004-0000-0100-000016000000}"/>
    <hyperlink ref="B26:C26" location="'AT-8A_Hon_CCH_UPry'!A1" display="AT - 8 A" xr:uid="{00000000-0004-0000-0100-000017000000}"/>
    <hyperlink ref="B27:C27" location="AT9_TA!A1" display="AT - 9" xr:uid="{00000000-0004-0000-0100-000018000000}"/>
    <hyperlink ref="B28:C28" location="AT10_MME!A1" display="AT - 10" xr:uid="{00000000-0004-0000-0100-000019000000}"/>
    <hyperlink ref="B29:C29" location="AT10A_!A1" display="AT - 10 A" xr:uid="{00000000-0004-0000-0100-00001A000000}"/>
    <hyperlink ref="B30:C30" location="'AT-10 B'!A1" display="AT - 10 B" xr:uid="{00000000-0004-0000-0100-00001B000000}"/>
    <hyperlink ref="B31:C31" location="'AT-10 C'!A1" display="AT - 10 C" xr:uid="{00000000-0004-0000-0100-00001C000000}"/>
    <hyperlink ref="B32:C32" location="'AT-10D'!A1" display="AT - 10 D" xr:uid="{00000000-0004-0000-0100-00001D000000}"/>
    <hyperlink ref="B33:C33" location="'AT-10 E'!A1" display="AT - 10 E " xr:uid="{00000000-0004-0000-0100-00001E000000}"/>
    <hyperlink ref="B34:C34" location="'AT-10 F'!A1" display="AT - 10 F" xr:uid="{00000000-0004-0000-0100-00001F000000}"/>
    <hyperlink ref="B35:C35" location="'AT11_KS Year wise'!A1" display="AT - 11" xr:uid="{00000000-0004-0000-0100-000020000000}"/>
    <hyperlink ref="B36:C36" location="'AT11A_KS-District wise'!A1" display="AT - 11 A" xr:uid="{00000000-0004-0000-0100-000021000000}"/>
    <hyperlink ref="B37:C37" location="'AT12_KD-New'!A1" display="AT - 12" xr:uid="{00000000-0004-0000-0100-000022000000}"/>
    <hyperlink ref="B38:C38" location="'AT12A_KD-Replacement'!A1" display="AT - 12 A" xr:uid="{00000000-0004-0000-0100-000023000000}"/>
    <hyperlink ref="B39:C39" location="'Mode of cooking'!A1" display="AT - 13" xr:uid="{00000000-0004-0000-0100-000024000000}"/>
    <hyperlink ref="B40:C40" location="'AT-14'!A1" display="AT - 14" xr:uid="{00000000-0004-0000-0100-000025000000}"/>
    <hyperlink ref="B41:C41" location="'AT-14 A'!A1" display="AT - 14 A" xr:uid="{00000000-0004-0000-0100-000026000000}"/>
    <hyperlink ref="C42" location="'AT-15'!A1" display="Contribution by community in form of  Tithi Bhojan or any other similar practice" xr:uid="{00000000-0004-0000-0100-000027000000}"/>
    <hyperlink ref="B42" location="'AT-15'!A1" display="AT - 15" xr:uid="{00000000-0004-0000-0100-000028000000}"/>
    <hyperlink ref="B43:C43" location="'AT-16'!A1" display="AT - 16" xr:uid="{00000000-0004-0000-0100-000029000000}"/>
    <hyperlink ref="B44:C44" location="'AT_17_Coverage-RBSK '!A1" display="AT - 17" xr:uid="{00000000-0004-0000-0100-00002A000000}"/>
    <hyperlink ref="B45:C45" location="'AT18_Details_Community '!A1" display="AT - 18" xr:uid="{00000000-0004-0000-0100-00002B000000}"/>
    <hyperlink ref="C46" location="AT_19_Impl_Agency!A1" display="Responsibility of Implementation" xr:uid="{00000000-0004-0000-0100-00002C000000}"/>
    <hyperlink ref="B46" location="AT_19_Impl_Agency!A1" display="AT - 19" xr:uid="{00000000-0004-0000-0100-00002D000000}"/>
    <hyperlink ref="B47:C47" location="'AT_20_CentralCookingagency '!A1" display="AT - 20" xr:uid="{00000000-0004-0000-0100-00002E000000}"/>
    <hyperlink ref="B48:C48" location="'AT-21'!A1" display="AT - 21" xr:uid="{00000000-0004-0000-0100-00002F000000}"/>
    <hyperlink ref="B49:C49" location="'AT-22'!A1" display="AT - 22" xr:uid="{00000000-0004-0000-0100-000030000000}"/>
    <hyperlink ref="B50:C50" location="'AT-23 MIS'!A1" display="AT - 23" xr:uid="{00000000-0004-0000-0100-000031000000}"/>
    <hyperlink ref="B51:C51" location="'AT-23A _AMS'!A1" display="AT - 23 A" xr:uid="{00000000-0004-0000-0100-000032000000}"/>
    <hyperlink ref="B52:C52" location="'AT-24'!A1" display="AT - 24" xr:uid="{00000000-0004-0000-0100-000033000000}"/>
    <hyperlink ref="B53:C53" location="'AT-25'!A1" display="AT - 25" xr:uid="{00000000-0004-0000-0100-000034000000}"/>
    <hyperlink ref="B54:C54" location="AT26_NoWD!A1" display="AT - 26" xr:uid="{00000000-0004-0000-0100-000035000000}"/>
    <hyperlink ref="B55:C55" location="AT26A_NoWD!A1" display="AT - 26 A" xr:uid="{00000000-0004-0000-0100-000036000000}"/>
    <hyperlink ref="B56:C56" location="AT27_Req_FG_CA_Pry!A1" display="AT - 27" xr:uid="{00000000-0004-0000-0100-000037000000}"/>
    <hyperlink ref="B57:C57" location="'AT27A_Req_FG_CA_U Pry '!A1" display="AT - 27 A" xr:uid="{00000000-0004-0000-0100-000038000000}"/>
    <hyperlink ref="B58:C58" location="'AT27B_Req_FG_CA_N CLP'!A1" display="AT - 27 B" xr:uid="{00000000-0004-0000-0100-000039000000}"/>
    <hyperlink ref="B59:C59" location="'AT27C_Req_FG_Drought -Pry '!A1" display="AT - 27 C" xr:uid="{00000000-0004-0000-0100-00003A000000}"/>
    <hyperlink ref="B60:C60" location="'AT27D_Req_FG_Drought -UPry '!A1" display="AT - 27 D" xr:uid="{00000000-0004-0000-0100-00003B000000}"/>
    <hyperlink ref="B61:C61" location="AT_28_RqmtKitchen!A1" display="AT - 28" xr:uid="{00000000-0004-0000-0100-00003C000000}"/>
    <hyperlink ref="B62:C62" location="'AT-28A_RqmtPlinthArea'!A1" display="AT - 28 A" xr:uid="{00000000-0004-0000-0100-00003D000000}"/>
    <hyperlink ref="B63:C63" location="'AT-28B_Kitchen repair'!A1" display="AT - 28 B" xr:uid="{00000000-0004-0000-0100-00003E000000}"/>
    <hyperlink ref="B64:C64" location="'AT29_Replacement KD '!A1" display="AT - 29" xr:uid="{00000000-0004-0000-0100-00003F000000}"/>
    <hyperlink ref="B65:C65" location="'AT29_A_Replacement KD'!A1" display="AT- 29 A" xr:uid="{00000000-0004-0000-0100-000040000000}"/>
    <hyperlink ref="B66:C66" location="'AT-30_Coook-cum-Helper'!A1" display="AT - 30" xr:uid="{00000000-0004-0000-0100-000041000000}"/>
    <hyperlink ref="B67:C67" location="'AT_31_Budget_provision '!A1" display="AT - 31" xr:uid="{00000000-0004-0000-0100-000042000000}"/>
    <hyperlink ref="B68:C68" location="'AT32_Drought Pry Util'!A1" display="AT - 32" xr:uid="{00000000-0004-0000-0100-000043000000}"/>
    <hyperlink ref="B69:C69" location="'AT-32A Drought UPry Util'!A1" display="AT - 32 A" xr:uid="{00000000-0004-0000-0100-000044000000}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R47"/>
  <sheetViews>
    <sheetView zoomScaleSheetLayoutView="90" workbookViewId="0">
      <selection activeCell="I8" sqref="I8:L8"/>
    </sheetView>
  </sheetViews>
  <sheetFormatPr defaultRowHeight="12.75" x14ac:dyDescent="0.2"/>
  <cols>
    <col min="1" max="1" width="6.7109375" style="15" customWidth="1"/>
    <col min="2" max="2" width="17.140625" style="15" customWidth="1"/>
    <col min="3" max="3" width="12" style="15" customWidth="1"/>
    <col min="4" max="4" width="10.8554687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6384" width="9.140625" style="15"/>
  </cols>
  <sheetData>
    <row r="1" spans="1:18" customFormat="1" ht="15" x14ac:dyDescent="0.2">
      <c r="D1" s="36"/>
      <c r="E1" s="36"/>
      <c r="F1" s="36"/>
      <c r="G1" s="36"/>
      <c r="H1" s="36"/>
      <c r="I1" s="36"/>
      <c r="J1" s="36"/>
      <c r="K1" s="36"/>
      <c r="L1" s="942" t="s">
        <v>61</v>
      </c>
      <c r="M1" s="942"/>
      <c r="N1" s="43"/>
      <c r="O1" s="43"/>
    </row>
    <row r="2" spans="1:18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5"/>
      <c r="N2" s="45"/>
      <c r="O2" s="45"/>
    </row>
    <row r="3" spans="1:18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44"/>
      <c r="N3" s="44"/>
      <c r="O3" s="44"/>
    </row>
    <row r="4" spans="1:18" customFormat="1" ht="10.5" customHeight="1" x14ac:dyDescent="0.2"/>
    <row r="5" spans="1:18" ht="19.5" customHeight="1" x14ac:dyDescent="0.25">
      <c r="A5" s="933" t="s">
        <v>803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 ht="15" x14ac:dyDescent="0.3">
      <c r="A7" s="197" t="s">
        <v>917</v>
      </c>
      <c r="B7" s="197" t="s">
        <v>916</v>
      </c>
      <c r="F7" s="943" t="s">
        <v>19</v>
      </c>
      <c r="G7" s="943"/>
      <c r="H7" s="943"/>
      <c r="I7" s="943"/>
      <c r="J7" s="943"/>
      <c r="K7" s="943"/>
      <c r="L7" s="943"/>
    </row>
    <row r="8" spans="1:18" x14ac:dyDescent="0.2">
      <c r="A8" s="14"/>
      <c r="F8" s="16"/>
      <c r="G8" s="98"/>
      <c r="H8" s="98"/>
      <c r="I8" s="925" t="s">
        <v>1186</v>
      </c>
      <c r="J8" s="925"/>
      <c r="K8" s="925"/>
      <c r="L8" s="925"/>
    </row>
    <row r="9" spans="1:18" s="14" customFormat="1" x14ac:dyDescent="0.2">
      <c r="A9" s="824" t="s">
        <v>2</v>
      </c>
      <c r="B9" s="824" t="s">
        <v>3</v>
      </c>
      <c r="C9" s="828" t="s">
        <v>20</v>
      </c>
      <c r="D9" s="829"/>
      <c r="E9" s="829"/>
      <c r="F9" s="829"/>
      <c r="G9" s="829"/>
      <c r="H9" s="828" t="s">
        <v>40</v>
      </c>
      <c r="I9" s="829"/>
      <c r="J9" s="829"/>
      <c r="K9" s="829"/>
      <c r="L9" s="829"/>
      <c r="Q9" s="30"/>
      <c r="R9" s="31"/>
    </row>
    <row r="10" spans="1:18" s="14" customFormat="1" ht="77.45" customHeight="1" x14ac:dyDescent="0.2">
      <c r="A10" s="824"/>
      <c r="B10" s="824"/>
      <c r="C10" s="5" t="s">
        <v>842</v>
      </c>
      <c r="D10" s="5" t="s">
        <v>820</v>
      </c>
      <c r="E10" s="5" t="s">
        <v>68</v>
      </c>
      <c r="F10" s="5" t="s">
        <v>69</v>
      </c>
      <c r="G10" s="5" t="s">
        <v>654</v>
      </c>
      <c r="H10" s="5" t="s">
        <v>842</v>
      </c>
      <c r="I10" s="5" t="s">
        <v>820</v>
      </c>
      <c r="J10" s="5" t="s">
        <v>68</v>
      </c>
      <c r="K10" s="5" t="s">
        <v>69</v>
      </c>
      <c r="L10" s="5" t="s">
        <v>655</v>
      </c>
    </row>
    <row r="11" spans="1:18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s="14" customFormat="1" x14ac:dyDescent="0.2">
      <c r="A12" s="18">
        <v>1</v>
      </c>
      <c r="B12" s="361" t="s">
        <v>890</v>
      </c>
      <c r="C12" s="379">
        <v>1177.008</v>
      </c>
      <c r="D12" s="379">
        <v>96.651685117647048</v>
      </c>
      <c r="E12" s="367">
        <v>1055.68</v>
      </c>
      <c r="F12" s="382">
        <f>T5_PLAN_vs_PRFM!H12*100/1000000</f>
        <v>1062.1231</v>
      </c>
      <c r="G12" s="379">
        <f>D12+E12-F12</f>
        <v>90.20858511764709</v>
      </c>
      <c r="H12" s="383"/>
      <c r="I12" s="368"/>
      <c r="J12" s="7"/>
      <c r="K12" s="368"/>
      <c r="L12" s="5"/>
      <c r="N12" s="381"/>
      <c r="P12" s="381"/>
    </row>
    <row r="13" spans="1:18" s="14" customFormat="1" x14ac:dyDescent="0.2">
      <c r="A13" s="18">
        <v>2</v>
      </c>
      <c r="B13" s="361" t="s">
        <v>891</v>
      </c>
      <c r="C13" s="379">
        <v>2480.2080000000001</v>
      </c>
      <c r="D13" s="379">
        <v>203.66580570588235</v>
      </c>
      <c r="E13" s="367">
        <v>2078.5100000000002</v>
      </c>
      <c r="F13" s="382">
        <f>T5_PLAN_vs_PRFM!H13*100/1000000</f>
        <v>2091.1986999999999</v>
      </c>
      <c r="G13" s="379">
        <f t="shared" ref="G13:G38" si="0">D13+E13-F13</f>
        <v>190.97710570588242</v>
      </c>
      <c r="H13" s="383"/>
      <c r="I13" s="368"/>
      <c r="J13" s="7"/>
      <c r="K13" s="368"/>
      <c r="L13" s="5"/>
      <c r="N13" s="381"/>
      <c r="P13" s="381"/>
    </row>
    <row r="14" spans="1:18" s="14" customFormat="1" x14ac:dyDescent="0.2">
      <c r="A14" s="18">
        <v>3</v>
      </c>
      <c r="B14" s="361" t="s">
        <v>892</v>
      </c>
      <c r="C14" s="379">
        <v>1616.8320000000001</v>
      </c>
      <c r="D14" s="379">
        <v>132.76845811764707</v>
      </c>
      <c r="E14" s="367">
        <v>1354.62</v>
      </c>
      <c r="F14" s="382">
        <f>T5_PLAN_vs_PRFM!H14*100/1000000</f>
        <v>1362.885</v>
      </c>
      <c r="G14" s="379">
        <f t="shared" si="0"/>
        <v>124.50345811764691</v>
      </c>
      <c r="H14" s="383"/>
      <c r="I14" s="368"/>
      <c r="J14" s="7"/>
      <c r="K14" s="368"/>
      <c r="L14" s="5"/>
      <c r="N14" s="381"/>
      <c r="P14" s="381"/>
    </row>
    <row r="15" spans="1:18" s="14" customFormat="1" x14ac:dyDescent="0.2">
      <c r="A15" s="18">
        <v>4</v>
      </c>
      <c r="B15" s="361" t="s">
        <v>893</v>
      </c>
      <c r="C15" s="379">
        <v>1520.664</v>
      </c>
      <c r="D15" s="379">
        <v>124.8714860882353</v>
      </c>
      <c r="E15" s="367">
        <v>1311.05</v>
      </c>
      <c r="F15" s="382">
        <f>T5_PLAN_vs_PRFM!H15*100/1000000</f>
        <v>1319.0582999999999</v>
      </c>
      <c r="G15" s="379">
        <f t="shared" si="0"/>
        <v>116.86318608823535</v>
      </c>
      <c r="H15" s="383"/>
      <c r="I15" s="368"/>
      <c r="J15" s="7"/>
      <c r="K15" s="368"/>
      <c r="L15" s="5"/>
      <c r="N15" s="381"/>
      <c r="P15" s="381"/>
    </row>
    <row r="16" spans="1:18" s="14" customFormat="1" x14ac:dyDescent="0.2">
      <c r="A16" s="18">
        <v>5</v>
      </c>
      <c r="B16" s="361" t="s">
        <v>894</v>
      </c>
      <c r="C16" s="379">
        <v>1630.7280000000001</v>
      </c>
      <c r="D16" s="379">
        <v>133.90954791176469</v>
      </c>
      <c r="E16" s="367">
        <v>1346.41</v>
      </c>
      <c r="F16" s="382">
        <f>T5_PLAN_vs_PRFM!H16*100/1000000</f>
        <v>1354.6256000000001</v>
      </c>
      <c r="G16" s="379">
        <f t="shared" si="0"/>
        <v>125.69394791176478</v>
      </c>
      <c r="H16" s="383"/>
      <c r="I16" s="368"/>
      <c r="J16" s="7"/>
      <c r="K16" s="368"/>
      <c r="L16" s="5"/>
      <c r="N16" s="381"/>
      <c r="P16" s="381"/>
    </row>
    <row r="17" spans="1:16" s="14" customFormat="1" x14ac:dyDescent="0.2">
      <c r="A17" s="18">
        <v>6</v>
      </c>
      <c r="B17" s="361" t="s">
        <v>895</v>
      </c>
      <c r="C17" s="379">
        <v>659.61599999999999</v>
      </c>
      <c r="D17" s="379">
        <v>54.165305529411768</v>
      </c>
      <c r="E17" s="367">
        <v>561.59</v>
      </c>
      <c r="F17" s="382">
        <f>T5_PLAN_vs_PRFM!H17*100/1000000</f>
        <v>565.01959999999997</v>
      </c>
      <c r="G17" s="379">
        <f t="shared" si="0"/>
        <v>50.735705529411803</v>
      </c>
      <c r="H17" s="383"/>
      <c r="I17" s="368"/>
      <c r="J17" s="7"/>
      <c r="K17" s="368"/>
      <c r="L17" s="5"/>
      <c r="N17" s="381"/>
      <c r="P17" s="381"/>
    </row>
    <row r="18" spans="1:16" s="14" customFormat="1" x14ac:dyDescent="0.2">
      <c r="A18" s="18">
        <v>7</v>
      </c>
      <c r="B18" s="361" t="s">
        <v>896</v>
      </c>
      <c r="C18" s="379">
        <v>3254.4</v>
      </c>
      <c r="D18" s="379">
        <v>267.2396823529412</v>
      </c>
      <c r="E18" s="367">
        <v>2638.12</v>
      </c>
      <c r="F18" s="382">
        <f>T5_PLAN_vs_PRFM!H18*100/1000000</f>
        <v>2654.2226999999998</v>
      </c>
      <c r="G18" s="379">
        <f t="shared" si="0"/>
        <v>251.13698235294123</v>
      </c>
      <c r="H18" s="383"/>
      <c r="I18" s="368"/>
      <c r="J18" s="7"/>
      <c r="K18" s="368"/>
      <c r="L18" s="5"/>
      <c r="N18" s="381"/>
      <c r="P18" s="381"/>
    </row>
    <row r="19" spans="1:16" s="14" customFormat="1" x14ac:dyDescent="0.2">
      <c r="A19" s="18">
        <v>8</v>
      </c>
      <c r="B19" s="361" t="s">
        <v>897</v>
      </c>
      <c r="C19" s="379">
        <v>606.31200000000001</v>
      </c>
      <c r="D19" s="379">
        <v>49.788171794117652</v>
      </c>
      <c r="E19" s="367">
        <v>521.76</v>
      </c>
      <c r="F19" s="382">
        <f>T5_PLAN_vs_PRFM!H19*100/1000000</f>
        <v>524.94349999999997</v>
      </c>
      <c r="G19" s="379">
        <f t="shared" si="0"/>
        <v>46.604671794117621</v>
      </c>
      <c r="H19" s="383"/>
      <c r="I19" s="368"/>
      <c r="J19" s="7"/>
      <c r="K19" s="368"/>
      <c r="L19" s="5"/>
      <c r="N19" s="381"/>
      <c r="P19" s="381"/>
    </row>
    <row r="20" spans="1:16" s="14" customFormat="1" x14ac:dyDescent="0.2">
      <c r="A20" s="18">
        <v>9</v>
      </c>
      <c r="B20" s="361" t="s">
        <v>898</v>
      </c>
      <c r="C20" s="379">
        <v>1133.0160000000001</v>
      </c>
      <c r="D20" s="379">
        <v>93.039219500000002</v>
      </c>
      <c r="E20" s="367">
        <v>980.61</v>
      </c>
      <c r="F20" s="382">
        <f>T5_PLAN_vs_PRFM!H20*100/1000000</f>
        <v>986.59749999999997</v>
      </c>
      <c r="G20" s="379">
        <f t="shared" si="0"/>
        <v>87.051719500000104</v>
      </c>
      <c r="H20" s="383"/>
      <c r="I20" s="368"/>
      <c r="J20" s="7"/>
      <c r="K20" s="368"/>
      <c r="L20" s="5"/>
      <c r="N20" s="381"/>
      <c r="P20" s="381"/>
    </row>
    <row r="21" spans="1:16" s="14" customFormat="1" x14ac:dyDescent="0.2">
      <c r="A21" s="18">
        <v>10</v>
      </c>
      <c r="B21" s="361" t="s">
        <v>899</v>
      </c>
      <c r="C21" s="379">
        <v>1395.7439999999999</v>
      </c>
      <c r="D21" s="379">
        <v>114.61350270588233</v>
      </c>
      <c r="E21" s="367">
        <v>1220.5999999999999</v>
      </c>
      <c r="F21" s="382">
        <f>T5_PLAN_vs_PRFM!H21*100/1000000</f>
        <v>1228.0469000000001</v>
      </c>
      <c r="G21" s="379">
        <f t="shared" si="0"/>
        <v>107.16660270588227</v>
      </c>
      <c r="H21" s="383"/>
      <c r="I21" s="368"/>
      <c r="J21" s="7"/>
      <c r="K21" s="368"/>
      <c r="L21" s="5"/>
      <c r="N21" s="381"/>
      <c r="P21" s="381"/>
    </row>
    <row r="22" spans="1:16" s="14" customFormat="1" x14ac:dyDescent="0.2">
      <c r="A22" s="18">
        <v>11</v>
      </c>
      <c r="B22" s="361" t="s">
        <v>900</v>
      </c>
      <c r="C22" s="379">
        <v>1098.672</v>
      </c>
      <c r="D22" s="379">
        <v>90.219013117647066</v>
      </c>
      <c r="E22" s="367">
        <v>1034.08</v>
      </c>
      <c r="F22" s="382">
        <f>T5_PLAN_vs_PRFM!H22*100/1000000</f>
        <v>1040.3952999999999</v>
      </c>
      <c r="G22" s="379">
        <f t="shared" si="0"/>
        <v>83.903713117647158</v>
      </c>
      <c r="H22" s="383"/>
      <c r="I22" s="368"/>
      <c r="J22" s="7"/>
      <c r="K22" s="368"/>
      <c r="L22" s="5"/>
      <c r="N22" s="381"/>
      <c r="P22" s="381"/>
    </row>
    <row r="23" spans="1:16" x14ac:dyDescent="0.2">
      <c r="A23" s="18">
        <v>12</v>
      </c>
      <c r="B23" s="361" t="s">
        <v>901</v>
      </c>
      <c r="C23" s="340">
        <v>2429.16</v>
      </c>
      <c r="D23" s="340">
        <v>199.47392661764704</v>
      </c>
      <c r="E23" s="366">
        <v>1927.25</v>
      </c>
      <c r="F23" s="382">
        <f>T5_PLAN_vs_PRFM!H23*100/1000000</f>
        <v>1939.0126</v>
      </c>
      <c r="G23" s="379">
        <f t="shared" si="0"/>
        <v>187.71132661764705</v>
      </c>
      <c r="H23" s="383"/>
      <c r="I23" s="369"/>
      <c r="J23" s="28"/>
      <c r="K23" s="368"/>
      <c r="L23" s="19"/>
      <c r="N23" s="381"/>
      <c r="O23" s="14"/>
      <c r="P23" s="381"/>
    </row>
    <row r="24" spans="1:16" x14ac:dyDescent="0.2">
      <c r="A24" s="18">
        <v>13</v>
      </c>
      <c r="B24" s="361" t="s">
        <v>902</v>
      </c>
      <c r="C24" s="340">
        <v>1463.9760000000001</v>
      </c>
      <c r="D24" s="340">
        <v>120.21647038235295</v>
      </c>
      <c r="E24" s="366">
        <v>1354.12</v>
      </c>
      <c r="F24" s="382">
        <f>T5_PLAN_vs_PRFM!H24*100/1000000</f>
        <v>1362.3848</v>
      </c>
      <c r="G24" s="379">
        <f t="shared" si="0"/>
        <v>111.95167038235286</v>
      </c>
      <c r="H24" s="383"/>
      <c r="I24" s="369"/>
      <c r="J24" s="28"/>
      <c r="K24" s="368"/>
      <c r="L24" s="19"/>
      <c r="N24" s="381"/>
      <c r="O24" s="14"/>
      <c r="P24" s="381"/>
    </row>
    <row r="25" spans="1:16" x14ac:dyDescent="0.2">
      <c r="A25" s="18">
        <v>14</v>
      </c>
      <c r="B25" s="361" t="s">
        <v>903</v>
      </c>
      <c r="C25" s="340">
        <v>1240.8</v>
      </c>
      <c r="D25" s="340">
        <v>101.89005588235294</v>
      </c>
      <c r="E25" s="366">
        <v>1154.1500000000001</v>
      </c>
      <c r="F25" s="382">
        <f>T5_PLAN_vs_PRFM!H25*100/1000000</f>
        <v>1161.2002</v>
      </c>
      <c r="G25" s="379">
        <f t="shared" si="0"/>
        <v>94.839855882353049</v>
      </c>
      <c r="H25" s="383"/>
      <c r="I25" s="369"/>
      <c r="J25" s="28"/>
      <c r="K25" s="368"/>
      <c r="L25" s="19"/>
      <c r="N25" s="381"/>
      <c r="O25" s="14"/>
      <c r="P25" s="381"/>
    </row>
    <row r="26" spans="1:16" x14ac:dyDescent="0.2">
      <c r="A26" s="18">
        <v>15</v>
      </c>
      <c r="B26" s="361" t="s">
        <v>904</v>
      </c>
      <c r="C26" s="340">
        <v>1742.88</v>
      </c>
      <c r="D26" s="340">
        <v>143.11906882352943</v>
      </c>
      <c r="E26" s="366">
        <v>1475.16</v>
      </c>
      <c r="F26" s="382">
        <f>T5_PLAN_vs_PRFM!H26*100/1000000</f>
        <v>1484.1695999999999</v>
      </c>
      <c r="G26" s="379">
        <f t="shared" si="0"/>
        <v>134.1094688235296</v>
      </c>
      <c r="H26" s="383"/>
      <c r="I26" s="369"/>
      <c r="J26" s="28"/>
      <c r="K26" s="368"/>
      <c r="L26" s="19"/>
      <c r="N26" s="381"/>
      <c r="O26" s="14"/>
      <c r="P26" s="381"/>
    </row>
    <row r="27" spans="1:16" x14ac:dyDescent="0.2">
      <c r="A27" s="18">
        <v>16</v>
      </c>
      <c r="B27" s="361" t="s">
        <v>905</v>
      </c>
      <c r="C27" s="340">
        <v>1174.6320000000001</v>
      </c>
      <c r="D27" s="340">
        <v>96.456576500000011</v>
      </c>
      <c r="E27" s="366">
        <v>1082.8599999999999</v>
      </c>
      <c r="F27" s="382">
        <f>T5_PLAN_vs_PRFM!H27*100/1000000</f>
        <v>1089.4742000000001</v>
      </c>
      <c r="G27" s="379">
        <f t="shared" si="0"/>
        <v>89.842376499999773</v>
      </c>
      <c r="H27" s="383"/>
      <c r="I27" s="369"/>
      <c r="J27" s="28"/>
      <c r="K27" s="368"/>
      <c r="L27" s="19"/>
      <c r="N27" s="381"/>
      <c r="O27" s="14"/>
      <c r="P27" s="381"/>
    </row>
    <row r="28" spans="1:16" x14ac:dyDescent="0.2">
      <c r="A28" s="18">
        <v>17</v>
      </c>
      <c r="B28" s="361" t="s">
        <v>906</v>
      </c>
      <c r="C28" s="340">
        <v>1669.3679999999999</v>
      </c>
      <c r="D28" s="340">
        <v>137.08252644117647</v>
      </c>
      <c r="E28" s="366">
        <v>1475.58</v>
      </c>
      <c r="F28" s="382">
        <f>T5_PLAN_vs_PRFM!H28*100/1000000</f>
        <v>1484.588</v>
      </c>
      <c r="G28" s="379">
        <f t="shared" si="0"/>
        <v>128.07452644117643</v>
      </c>
      <c r="H28" s="383"/>
      <c r="I28" s="369"/>
      <c r="J28" s="28"/>
      <c r="K28" s="368"/>
      <c r="L28" s="19"/>
      <c r="N28" s="381"/>
      <c r="O28" s="14"/>
      <c r="P28" s="381"/>
    </row>
    <row r="29" spans="1:16" x14ac:dyDescent="0.2">
      <c r="A29" s="18">
        <v>18</v>
      </c>
      <c r="B29" s="361" t="s">
        <v>907</v>
      </c>
      <c r="C29" s="340">
        <v>935.83199999999999</v>
      </c>
      <c r="D29" s="340">
        <v>76.847175029411758</v>
      </c>
      <c r="E29" s="366">
        <v>779.63</v>
      </c>
      <c r="F29" s="382">
        <f>T5_PLAN_vs_PRFM!H29*100/1000000</f>
        <v>784.38800000000003</v>
      </c>
      <c r="G29" s="379">
        <f t="shared" si="0"/>
        <v>72.089175029411763</v>
      </c>
      <c r="H29" s="383"/>
      <c r="I29" s="369"/>
      <c r="J29" s="28"/>
      <c r="K29" s="368"/>
      <c r="L29" s="19"/>
      <c r="N29" s="381"/>
      <c r="O29" s="14"/>
      <c r="P29" s="381"/>
    </row>
    <row r="30" spans="1:16" x14ac:dyDescent="0.2">
      <c r="A30" s="18">
        <v>19</v>
      </c>
      <c r="B30" s="361" t="s">
        <v>908</v>
      </c>
      <c r="C30" s="340">
        <v>1776.4079999999999</v>
      </c>
      <c r="D30" s="340">
        <v>145.87226820588234</v>
      </c>
      <c r="E30" s="366">
        <v>1522.99</v>
      </c>
      <c r="F30" s="382">
        <f>T5_PLAN_vs_PRFM!H30*100/1000000</f>
        <v>1532.2906</v>
      </c>
      <c r="G30" s="379">
        <f t="shared" si="0"/>
        <v>136.57166820588236</v>
      </c>
      <c r="H30" s="383"/>
      <c r="I30" s="369"/>
      <c r="J30" s="28"/>
      <c r="K30" s="368"/>
      <c r="L30" s="19"/>
      <c r="N30" s="381"/>
      <c r="O30" s="14"/>
      <c r="P30" s="381"/>
    </row>
    <row r="31" spans="1:16" x14ac:dyDescent="0.2">
      <c r="A31" s="18">
        <v>20</v>
      </c>
      <c r="B31" s="361" t="s">
        <v>909</v>
      </c>
      <c r="C31" s="340">
        <v>1509.72</v>
      </c>
      <c r="D31" s="340">
        <v>123.97280397058822</v>
      </c>
      <c r="E31" s="366">
        <v>1239.73</v>
      </c>
      <c r="F31" s="382">
        <f>T5_PLAN_vs_PRFM!H31*100/1000000</f>
        <v>1247.3018999999999</v>
      </c>
      <c r="G31" s="379">
        <f t="shared" si="0"/>
        <v>116.40090397058839</v>
      </c>
      <c r="H31" s="383"/>
      <c r="I31" s="369"/>
      <c r="J31" s="28"/>
      <c r="K31" s="368"/>
      <c r="L31" s="19"/>
      <c r="N31" s="381"/>
      <c r="O31" s="14"/>
      <c r="P31" s="381"/>
    </row>
    <row r="32" spans="1:16" x14ac:dyDescent="0.2">
      <c r="A32" s="18">
        <v>21</v>
      </c>
      <c r="B32" s="361" t="s">
        <v>910</v>
      </c>
      <c r="C32" s="340">
        <v>356.83199999999999</v>
      </c>
      <c r="D32" s="340">
        <v>29.301766941176471</v>
      </c>
      <c r="E32" s="366">
        <v>308.43</v>
      </c>
      <c r="F32" s="382">
        <f>T5_PLAN_vs_PRFM!H32*100/1000000</f>
        <v>310.31720000000001</v>
      </c>
      <c r="G32" s="379">
        <f t="shared" si="0"/>
        <v>27.414566941176474</v>
      </c>
      <c r="H32" s="383"/>
      <c r="I32" s="369"/>
      <c r="J32" s="28"/>
      <c r="K32" s="368"/>
      <c r="L32" s="19"/>
      <c r="N32" s="381"/>
      <c r="O32" s="14"/>
      <c r="P32" s="381"/>
    </row>
    <row r="33" spans="1:16" x14ac:dyDescent="0.2">
      <c r="A33" s="18">
        <v>22</v>
      </c>
      <c r="B33" s="361" t="s">
        <v>911</v>
      </c>
      <c r="C33" s="340">
        <v>1880.52</v>
      </c>
      <c r="D33" s="340">
        <v>154.42157308823528</v>
      </c>
      <c r="E33" s="366">
        <v>1610.94</v>
      </c>
      <c r="F33" s="382">
        <f>T5_PLAN_vs_PRFM!H33*100/1000000</f>
        <v>1620.7748999999999</v>
      </c>
      <c r="G33" s="379">
        <f t="shared" si="0"/>
        <v>144.58667308823533</v>
      </c>
      <c r="H33" s="383"/>
      <c r="I33" s="369"/>
      <c r="J33" s="28"/>
      <c r="K33" s="368"/>
      <c r="L33" s="19"/>
      <c r="N33" s="381"/>
      <c r="O33" s="14"/>
      <c r="P33" s="381"/>
    </row>
    <row r="34" spans="1:16" x14ac:dyDescent="0.2">
      <c r="A34" s="18">
        <v>23</v>
      </c>
      <c r="B34" s="361" t="s">
        <v>912</v>
      </c>
      <c r="C34" s="340">
        <v>2263.9679999999998</v>
      </c>
      <c r="D34" s="340">
        <v>185.90895070588232</v>
      </c>
      <c r="E34" s="366">
        <v>1941.8</v>
      </c>
      <c r="F34" s="382">
        <f>T5_PLAN_vs_PRFM!H34*100/1000000</f>
        <v>1953.6498999999999</v>
      </c>
      <c r="G34" s="379">
        <f t="shared" si="0"/>
        <v>174.05905070588233</v>
      </c>
      <c r="H34" s="383"/>
      <c r="I34" s="369"/>
      <c r="J34" s="28"/>
      <c r="K34" s="368"/>
      <c r="L34" s="19"/>
      <c r="N34" s="381"/>
      <c r="O34" s="14"/>
      <c r="P34" s="381"/>
    </row>
    <row r="35" spans="1:16" x14ac:dyDescent="0.2">
      <c r="A35" s="18">
        <v>24</v>
      </c>
      <c r="B35" s="361" t="s">
        <v>913</v>
      </c>
      <c r="C35" s="340">
        <v>2491.1039999999998</v>
      </c>
      <c r="D35" s="340">
        <v>204.56054623529408</v>
      </c>
      <c r="E35" s="366">
        <v>2256.7800000000002</v>
      </c>
      <c r="F35" s="382">
        <f>T5_PLAN_vs_PRFM!H35*100/1000000</f>
        <v>2270.5549000000001</v>
      </c>
      <c r="G35" s="379">
        <f t="shared" si="0"/>
        <v>190.78564623529428</v>
      </c>
      <c r="H35" s="383"/>
      <c r="I35" s="369"/>
      <c r="J35" s="28"/>
      <c r="K35" s="368"/>
      <c r="L35" s="19"/>
      <c r="N35" s="381"/>
      <c r="O35" s="14"/>
      <c r="P35" s="381"/>
    </row>
    <row r="36" spans="1:16" x14ac:dyDescent="0.2">
      <c r="A36" s="18">
        <v>25</v>
      </c>
      <c r="B36" s="361" t="s">
        <v>919</v>
      </c>
      <c r="C36" s="340">
        <v>1311.768</v>
      </c>
      <c r="D36" s="340">
        <v>107.71769408823531</v>
      </c>
      <c r="E36" s="366">
        <v>1080.8399999999999</v>
      </c>
      <c r="F36" s="382">
        <f>T5_PLAN_vs_PRFM!H36*100/1000000</f>
        <v>1087.4434000000001</v>
      </c>
      <c r="G36" s="379">
        <f t="shared" si="0"/>
        <v>101.11429408823506</v>
      </c>
      <c r="H36" s="383"/>
      <c r="I36" s="369"/>
      <c r="J36" s="28"/>
      <c r="K36" s="368"/>
      <c r="L36" s="19"/>
      <c r="N36" s="381"/>
      <c r="O36" s="14"/>
      <c r="P36" s="381"/>
    </row>
    <row r="37" spans="1:16" x14ac:dyDescent="0.2">
      <c r="A37" s="18">
        <v>26</v>
      </c>
      <c r="B37" s="361" t="s">
        <v>914</v>
      </c>
      <c r="C37" s="340">
        <v>592.03200000000004</v>
      </c>
      <c r="D37" s="340">
        <v>48.615549294117649</v>
      </c>
      <c r="E37" s="366">
        <v>577.16</v>
      </c>
      <c r="F37" s="382">
        <f>T5_PLAN_vs_PRFM!H37*100/1000000</f>
        <v>580.68349999999998</v>
      </c>
      <c r="G37" s="379">
        <f t="shared" si="0"/>
        <v>45.092049294117601</v>
      </c>
      <c r="H37" s="383"/>
      <c r="I37" s="369"/>
      <c r="J37" s="28"/>
      <c r="K37" s="368"/>
      <c r="L37" s="19"/>
      <c r="N37" s="381"/>
      <c r="O37" s="14"/>
      <c r="P37" s="381"/>
    </row>
    <row r="38" spans="1:16" ht="15" x14ac:dyDescent="0.2">
      <c r="A38" s="18">
        <v>27</v>
      </c>
      <c r="B38" s="362" t="s">
        <v>915</v>
      </c>
      <c r="C38" s="340">
        <v>1387.8</v>
      </c>
      <c r="D38" s="340">
        <v>113.96116985294117</v>
      </c>
      <c r="E38" s="366">
        <v>1153.08</v>
      </c>
      <c r="F38" s="382">
        <f>T5_PLAN_vs_PRFM!H38*100/1000000</f>
        <v>1160.1242</v>
      </c>
      <c r="G38" s="379">
        <f t="shared" si="0"/>
        <v>106.91696985294107</v>
      </c>
      <c r="H38" s="383"/>
      <c r="I38" s="369"/>
      <c r="J38" s="28"/>
      <c r="K38" s="368"/>
      <c r="L38" s="19"/>
      <c r="N38" s="381"/>
      <c r="O38" s="14"/>
      <c r="P38" s="381"/>
    </row>
    <row r="39" spans="1:16" x14ac:dyDescent="0.2">
      <c r="A39" s="3" t="s">
        <v>18</v>
      </c>
      <c r="B39" s="19"/>
      <c r="C39" s="380">
        <f>SUM(C12:C38)</f>
        <v>40799.999999999993</v>
      </c>
      <c r="D39" s="380">
        <f>SUM(D12:D38)</f>
        <v>3350.3500000000004</v>
      </c>
      <c r="E39" s="380">
        <f>SUM(E12:E38)</f>
        <v>35043.530000000006</v>
      </c>
      <c r="F39" s="380">
        <f>SUM(F12:F38)</f>
        <v>35257.474099999999</v>
      </c>
      <c r="G39" s="340">
        <f>SUM(G12:G38)</f>
        <v>3136.4059000000007</v>
      </c>
      <c r="H39" s="340"/>
      <c r="I39" s="28"/>
      <c r="J39" s="28"/>
      <c r="K39" s="28"/>
      <c r="L39" s="19"/>
      <c r="N39" s="380"/>
    </row>
    <row r="40" spans="1:16" x14ac:dyDescent="0.2">
      <c r="A40" s="21" t="s">
        <v>656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6" ht="15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6" s="569" customFormat="1" ht="18" customHeight="1" x14ac:dyDescent="0.2">
      <c r="A42" s="563"/>
      <c r="B42" s="563"/>
      <c r="C42" s="563"/>
      <c r="D42" s="563"/>
      <c r="E42" s="563"/>
      <c r="F42" s="563"/>
      <c r="G42" s="563"/>
      <c r="H42" s="563"/>
      <c r="I42" s="563"/>
      <c r="J42" s="563"/>
      <c r="K42" s="563"/>
      <c r="L42" s="563"/>
    </row>
    <row r="43" spans="1:16" s="569" customFormat="1" ht="12.75" customHeight="1" x14ac:dyDescent="0.2">
      <c r="A43" s="563"/>
      <c r="B43" s="563"/>
      <c r="C43" s="563"/>
      <c r="D43" s="563"/>
      <c r="E43" s="563"/>
      <c r="F43" s="563"/>
      <c r="G43" s="810" t="s">
        <v>13</v>
      </c>
      <c r="H43" s="810"/>
      <c r="I43" s="810"/>
      <c r="J43" s="810"/>
      <c r="K43" s="810"/>
      <c r="L43" s="563"/>
    </row>
    <row r="44" spans="1:16" s="569" customFormat="1" ht="12.75" customHeight="1" x14ac:dyDescent="0.2">
      <c r="A44" s="563"/>
      <c r="B44" s="563"/>
      <c r="C44" s="563"/>
      <c r="D44" s="563"/>
      <c r="E44" s="563"/>
      <c r="F44" s="563"/>
      <c r="G44" s="810" t="s">
        <v>14</v>
      </c>
      <c r="H44" s="810"/>
      <c r="I44" s="810"/>
      <c r="J44" s="810"/>
      <c r="K44" s="810"/>
      <c r="L44" s="563"/>
    </row>
    <row r="45" spans="1:16" s="569" customFormat="1" ht="15" x14ac:dyDescent="0.25">
      <c r="A45" s="492" t="s">
        <v>12</v>
      </c>
      <c r="B45" s="14"/>
      <c r="D45" s="14"/>
      <c r="E45" s="14"/>
      <c r="F45" s="14"/>
      <c r="G45" s="810" t="s">
        <v>918</v>
      </c>
      <c r="H45" s="810"/>
      <c r="I45" s="810"/>
      <c r="J45" s="810"/>
      <c r="K45" s="810"/>
      <c r="L45" s="36"/>
    </row>
    <row r="46" spans="1:16" x14ac:dyDescent="0.2">
      <c r="A46" s="14"/>
      <c r="G46" s="207" t="s">
        <v>82</v>
      </c>
      <c r="H46" s="207"/>
      <c r="I46" s="207"/>
      <c r="J46" s="207"/>
      <c r="K46" s="207"/>
    </row>
    <row r="47" spans="1:16" x14ac:dyDescent="0.2">
      <c r="A47" s="938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8"/>
    </row>
  </sheetData>
  <mergeCells count="14">
    <mergeCell ref="L1:M1"/>
    <mergeCell ref="A3:L3"/>
    <mergeCell ref="A2:L2"/>
    <mergeCell ref="A5:L5"/>
    <mergeCell ref="A47:L47"/>
    <mergeCell ref="F7:L7"/>
    <mergeCell ref="A9:A10"/>
    <mergeCell ref="B9:B10"/>
    <mergeCell ref="C9:G9"/>
    <mergeCell ref="H9:L9"/>
    <mergeCell ref="I8:L8"/>
    <mergeCell ref="G43:K43"/>
    <mergeCell ref="G44:K44"/>
    <mergeCell ref="G45:K4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4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S48"/>
  <sheetViews>
    <sheetView zoomScaleSheetLayoutView="90" workbookViewId="0">
      <selection activeCell="I8" sqref="I8:L8"/>
    </sheetView>
  </sheetViews>
  <sheetFormatPr defaultRowHeight="12.75" x14ac:dyDescent="0.2"/>
  <cols>
    <col min="1" max="1" width="6" style="15" customWidth="1"/>
    <col min="2" max="2" width="15.42578125" style="15" customWidth="1"/>
    <col min="3" max="3" width="10.5703125" style="15" customWidth="1"/>
    <col min="4" max="4" width="10.7109375" style="15" customWidth="1"/>
    <col min="5" max="5" width="10.42578125" style="15" customWidth="1"/>
    <col min="6" max="6" width="10.85546875" style="15" customWidth="1"/>
    <col min="7" max="7" width="14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6"/>
      <c r="E1" s="36"/>
      <c r="F1" s="36"/>
      <c r="G1" s="36"/>
      <c r="H1" s="36"/>
      <c r="I1" s="36"/>
      <c r="J1" s="36"/>
      <c r="K1" s="36"/>
      <c r="L1" s="942" t="s">
        <v>70</v>
      </c>
      <c r="M1" s="942"/>
      <c r="N1" s="942"/>
      <c r="O1" s="43"/>
      <c r="P1" s="43"/>
    </row>
    <row r="2" spans="1:19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5"/>
      <c r="N2" s="45"/>
      <c r="O2" s="45"/>
      <c r="P2" s="45"/>
    </row>
    <row r="3" spans="1:19" customFormat="1" ht="20.25" x14ac:dyDescent="0.3">
      <c r="A3" s="944" t="s">
        <v>738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44"/>
      <c r="N3" s="44"/>
      <c r="O3" s="44"/>
      <c r="P3" s="44"/>
    </row>
    <row r="4" spans="1:19" customFormat="1" ht="10.5" customHeight="1" x14ac:dyDescent="0.2"/>
    <row r="5" spans="1:19" ht="19.5" customHeight="1" x14ac:dyDescent="0.25">
      <c r="A5" s="933" t="s">
        <v>804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ht="15" x14ac:dyDescent="0.3">
      <c r="A7" s="197" t="s">
        <v>917</v>
      </c>
      <c r="B7" s="197" t="s">
        <v>916</v>
      </c>
      <c r="F7" s="943" t="s">
        <v>19</v>
      </c>
      <c r="G7" s="943"/>
      <c r="H7" s="943"/>
      <c r="I7" s="943"/>
      <c r="J7" s="943"/>
      <c r="K7" s="943"/>
      <c r="L7" s="943"/>
    </row>
    <row r="8" spans="1:19" x14ac:dyDescent="0.2">
      <c r="A8" s="14"/>
      <c r="F8" s="16"/>
      <c r="G8" s="98"/>
      <c r="H8" s="98"/>
      <c r="I8" s="925" t="s">
        <v>1186</v>
      </c>
      <c r="J8" s="925"/>
      <c r="K8" s="925"/>
      <c r="L8" s="925"/>
    </row>
    <row r="9" spans="1:19" s="14" customFormat="1" x14ac:dyDescent="0.2">
      <c r="A9" s="824" t="s">
        <v>2</v>
      </c>
      <c r="B9" s="824" t="s">
        <v>3</v>
      </c>
      <c r="C9" s="828" t="s">
        <v>20</v>
      </c>
      <c r="D9" s="829"/>
      <c r="E9" s="829"/>
      <c r="F9" s="829"/>
      <c r="G9" s="829"/>
      <c r="H9" s="828" t="s">
        <v>40</v>
      </c>
      <c r="I9" s="829"/>
      <c r="J9" s="829"/>
      <c r="K9" s="829"/>
      <c r="L9" s="829"/>
      <c r="R9" s="30"/>
      <c r="S9" s="31"/>
    </row>
    <row r="10" spans="1:19" s="14" customFormat="1" ht="77.45" customHeight="1" x14ac:dyDescent="0.2">
      <c r="A10" s="824"/>
      <c r="B10" s="824"/>
      <c r="C10" s="5" t="s">
        <v>842</v>
      </c>
      <c r="D10" s="5" t="s">
        <v>820</v>
      </c>
      <c r="E10" s="5" t="s">
        <v>68</v>
      </c>
      <c r="F10" s="5" t="s">
        <v>69</v>
      </c>
      <c r="G10" s="5" t="s">
        <v>921</v>
      </c>
      <c r="H10" s="5" t="s">
        <v>842</v>
      </c>
      <c r="I10" s="5" t="s">
        <v>820</v>
      </c>
      <c r="J10" s="5" t="s">
        <v>68</v>
      </c>
      <c r="K10" s="5" t="s">
        <v>69</v>
      </c>
      <c r="L10" s="5" t="s">
        <v>657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s="14" customFormat="1" x14ac:dyDescent="0.2">
      <c r="A12" s="18">
        <v>1</v>
      </c>
      <c r="B12" s="361" t="s">
        <v>890</v>
      </c>
      <c r="C12" s="379">
        <f>ROUND('T5A_PLAN_vs_PRFM '!F12*150/1000000,2)</f>
        <v>1191.78</v>
      </c>
      <c r="D12" s="379">
        <v>48.01</v>
      </c>
      <c r="E12" s="379">
        <v>1012.31</v>
      </c>
      <c r="F12" s="367">
        <f>ROUND('T5A_PLAN_vs_PRFM '!H12*150/1000000,2)</f>
        <v>1045.8800000000001</v>
      </c>
      <c r="G12" s="379">
        <f>D12+E12-F12</f>
        <v>14.439999999999827</v>
      </c>
      <c r="H12" s="752"/>
      <c r="I12" s="7"/>
      <c r="J12" s="7"/>
      <c r="K12" s="7"/>
      <c r="L12" s="5"/>
      <c r="O12" s="384"/>
    </row>
    <row r="13" spans="1:19" s="14" customFormat="1" x14ac:dyDescent="0.2">
      <c r="A13" s="18">
        <v>2</v>
      </c>
      <c r="B13" s="361" t="s">
        <v>891</v>
      </c>
      <c r="C13" s="379">
        <f>ROUND('T5A_PLAN_vs_PRFM '!F13*150/1000000,2)</f>
        <v>2538.7600000000002</v>
      </c>
      <c r="D13" s="379">
        <v>102.27</v>
      </c>
      <c r="E13" s="379">
        <v>1928.79</v>
      </c>
      <c r="F13" s="367">
        <f>ROUND('T5A_PLAN_vs_PRFM '!H13*150/1000000,2)</f>
        <v>1992.74</v>
      </c>
      <c r="G13" s="379">
        <f t="shared" ref="G13:G38" si="0">D13+E13-F13</f>
        <v>38.319999999999936</v>
      </c>
      <c r="H13" s="752"/>
      <c r="I13" s="7"/>
      <c r="J13" s="7"/>
      <c r="K13" s="7"/>
      <c r="L13" s="5"/>
      <c r="O13" s="384"/>
    </row>
    <row r="14" spans="1:19" s="14" customFormat="1" x14ac:dyDescent="0.2">
      <c r="A14" s="18">
        <v>3</v>
      </c>
      <c r="B14" s="361" t="s">
        <v>892</v>
      </c>
      <c r="C14" s="379">
        <f>ROUND('T5A_PLAN_vs_PRFM '!F14*150/1000000,2)</f>
        <v>1388.38</v>
      </c>
      <c r="D14" s="379">
        <v>55.93</v>
      </c>
      <c r="E14" s="379">
        <v>1048.1600000000001</v>
      </c>
      <c r="F14" s="367">
        <f>ROUND('T5A_PLAN_vs_PRFM '!H14*150/1000000,2)</f>
        <v>1082.9100000000001</v>
      </c>
      <c r="G14" s="379">
        <f t="shared" si="0"/>
        <v>21.180000000000064</v>
      </c>
      <c r="H14" s="752"/>
      <c r="I14" s="7"/>
      <c r="J14" s="7"/>
      <c r="K14" s="7"/>
      <c r="L14" s="5"/>
      <c r="O14" s="384"/>
    </row>
    <row r="15" spans="1:19" s="14" customFormat="1" x14ac:dyDescent="0.2">
      <c r="A15" s="18">
        <v>4</v>
      </c>
      <c r="B15" s="361" t="s">
        <v>893</v>
      </c>
      <c r="C15" s="379">
        <f>ROUND('T5A_PLAN_vs_PRFM '!F15*150/1000000,2)</f>
        <v>1275.8800000000001</v>
      </c>
      <c r="D15" s="379">
        <v>51.4</v>
      </c>
      <c r="E15" s="379">
        <v>967.87</v>
      </c>
      <c r="F15" s="367">
        <f>ROUND('T5A_PLAN_vs_PRFM '!H15*150/1000000,2)</f>
        <v>999.96</v>
      </c>
      <c r="G15" s="379">
        <f t="shared" si="0"/>
        <v>19.309999999999945</v>
      </c>
      <c r="H15" s="752"/>
      <c r="I15" s="7"/>
      <c r="J15" s="7"/>
      <c r="K15" s="7"/>
      <c r="L15" s="5"/>
      <c r="O15" s="384"/>
    </row>
    <row r="16" spans="1:19" s="14" customFormat="1" x14ac:dyDescent="0.2">
      <c r="A16" s="18">
        <v>5</v>
      </c>
      <c r="B16" s="361" t="s">
        <v>894</v>
      </c>
      <c r="C16" s="379">
        <f>ROUND('T5A_PLAN_vs_PRFM '!F16*150/1000000,2)</f>
        <v>1621.15</v>
      </c>
      <c r="D16" s="379">
        <v>65.31</v>
      </c>
      <c r="E16" s="379">
        <v>1260.18</v>
      </c>
      <c r="F16" s="367">
        <f>ROUND('T5A_PLAN_vs_PRFM '!H16*150/1000000,2)</f>
        <v>1301.96</v>
      </c>
      <c r="G16" s="379">
        <f t="shared" si="0"/>
        <v>23.529999999999973</v>
      </c>
      <c r="H16" s="752"/>
      <c r="I16" s="7"/>
      <c r="J16" s="7"/>
      <c r="K16" s="7"/>
      <c r="L16" s="5"/>
      <c r="O16" s="384"/>
    </row>
    <row r="17" spans="1:16" s="14" customFormat="1" x14ac:dyDescent="0.2">
      <c r="A17" s="18">
        <v>6</v>
      </c>
      <c r="B17" s="361" t="s">
        <v>895</v>
      </c>
      <c r="C17" s="379">
        <f>ROUND('T5A_PLAN_vs_PRFM '!F17*150/1000000,2)</f>
        <v>376.49</v>
      </c>
      <c r="D17" s="379">
        <v>15.17</v>
      </c>
      <c r="E17" s="379">
        <v>337.22</v>
      </c>
      <c r="F17" s="367">
        <f>ROUND('T5A_PLAN_vs_PRFM '!H17*150/1000000,2)</f>
        <v>348.4</v>
      </c>
      <c r="G17" s="379">
        <f t="shared" si="0"/>
        <v>3.9900000000000659</v>
      </c>
      <c r="H17" s="752"/>
      <c r="I17" s="7"/>
      <c r="J17" s="7"/>
      <c r="K17" s="7"/>
      <c r="L17" s="5"/>
      <c r="O17" s="384"/>
    </row>
    <row r="18" spans="1:16" s="14" customFormat="1" x14ac:dyDescent="0.2">
      <c r="A18" s="18">
        <v>7</v>
      </c>
      <c r="B18" s="361" t="s">
        <v>896</v>
      </c>
      <c r="C18" s="379">
        <f>ROUND('T5A_PLAN_vs_PRFM '!F18*150/1000000,2)</f>
        <v>3322.84</v>
      </c>
      <c r="D18" s="379">
        <v>133.86000000000001</v>
      </c>
      <c r="E18" s="379">
        <v>2389.8000000000002</v>
      </c>
      <c r="F18" s="367">
        <f>ROUND('T5A_PLAN_vs_PRFM '!H18*150/1000000,2)</f>
        <v>2469.04</v>
      </c>
      <c r="G18" s="379">
        <f t="shared" si="0"/>
        <v>54.620000000000346</v>
      </c>
      <c r="H18" s="752"/>
      <c r="I18" s="7"/>
      <c r="J18" s="7"/>
      <c r="K18" s="7"/>
      <c r="L18" s="5"/>
      <c r="O18" s="384"/>
    </row>
    <row r="19" spans="1:16" s="14" customFormat="1" x14ac:dyDescent="0.2">
      <c r="A19" s="18">
        <v>8</v>
      </c>
      <c r="B19" s="361" t="s">
        <v>897</v>
      </c>
      <c r="C19" s="379">
        <f>ROUND('T5A_PLAN_vs_PRFM '!F19*150/1000000,2)</f>
        <v>363.96</v>
      </c>
      <c r="D19" s="379">
        <v>14.66</v>
      </c>
      <c r="E19" s="379">
        <v>329.8</v>
      </c>
      <c r="F19" s="367">
        <f>ROUND('T5A_PLAN_vs_PRFM '!H19*150/1000000,2)</f>
        <v>340.74</v>
      </c>
      <c r="G19" s="379">
        <f t="shared" si="0"/>
        <v>3.7200000000000273</v>
      </c>
      <c r="H19" s="752"/>
      <c r="I19" s="7"/>
      <c r="J19" s="7"/>
      <c r="K19" s="7"/>
      <c r="L19" s="5"/>
      <c r="O19" s="384"/>
    </row>
    <row r="20" spans="1:16" s="14" customFormat="1" x14ac:dyDescent="0.2">
      <c r="A20" s="18">
        <v>9</v>
      </c>
      <c r="B20" s="361" t="s">
        <v>898</v>
      </c>
      <c r="C20" s="379">
        <f>ROUND('T5A_PLAN_vs_PRFM '!F20*150/1000000,2)</f>
        <v>1188.32</v>
      </c>
      <c r="D20" s="379">
        <v>47.87</v>
      </c>
      <c r="E20" s="379">
        <v>967.5</v>
      </c>
      <c r="F20" s="367">
        <f>ROUND('T5A_PLAN_vs_PRFM '!H20*150/1000000,2)</f>
        <v>999.58</v>
      </c>
      <c r="G20" s="379">
        <f t="shared" si="0"/>
        <v>15.789999999999964</v>
      </c>
      <c r="H20" s="752"/>
      <c r="I20" s="7"/>
      <c r="J20" s="7"/>
      <c r="K20" s="7"/>
      <c r="L20" s="5"/>
      <c r="O20" s="384"/>
    </row>
    <row r="21" spans="1:16" s="14" customFormat="1" x14ac:dyDescent="0.2">
      <c r="A21" s="18">
        <v>10</v>
      </c>
      <c r="B21" s="361" t="s">
        <v>899</v>
      </c>
      <c r="C21" s="379">
        <f>ROUND('T5A_PLAN_vs_PRFM '!F21*150/1000000,2)</f>
        <v>1565.32</v>
      </c>
      <c r="D21" s="379">
        <v>63.06</v>
      </c>
      <c r="E21" s="379">
        <v>1217.5999999999999</v>
      </c>
      <c r="F21" s="367">
        <f>ROUND('T5A_PLAN_vs_PRFM '!H21*150/1000000,2)</f>
        <v>1257.97</v>
      </c>
      <c r="G21" s="379">
        <f t="shared" si="0"/>
        <v>22.689999999999827</v>
      </c>
      <c r="H21" s="752"/>
      <c r="I21" s="7"/>
      <c r="J21" s="7"/>
      <c r="K21" s="7"/>
      <c r="L21" s="5"/>
      <c r="O21" s="384"/>
    </row>
    <row r="22" spans="1:16" s="14" customFormat="1" x14ac:dyDescent="0.2">
      <c r="A22" s="18">
        <v>11</v>
      </c>
      <c r="B22" s="361" t="s">
        <v>900</v>
      </c>
      <c r="C22" s="379">
        <f>ROUND('T5A_PLAN_vs_PRFM '!F22*150/1000000,2)</f>
        <v>1020.67</v>
      </c>
      <c r="D22" s="379">
        <v>41.12</v>
      </c>
      <c r="E22" s="379">
        <v>826.36</v>
      </c>
      <c r="F22" s="367">
        <f>ROUND('T5A_PLAN_vs_PRFM '!H22*150/1000000,2)</f>
        <v>853.76</v>
      </c>
      <c r="G22" s="379">
        <f t="shared" si="0"/>
        <v>13.720000000000027</v>
      </c>
      <c r="H22" s="752"/>
      <c r="I22" s="7"/>
      <c r="J22" s="7"/>
      <c r="K22" s="7"/>
      <c r="L22" s="5"/>
      <c r="O22" s="384"/>
    </row>
    <row r="23" spans="1:16" x14ac:dyDescent="0.2">
      <c r="A23" s="18">
        <v>12</v>
      </c>
      <c r="B23" s="361" t="s">
        <v>901</v>
      </c>
      <c r="C23" s="379">
        <f>ROUND('T5A_PLAN_vs_PRFM '!F23*150/1000000,2)</f>
        <v>2641.68</v>
      </c>
      <c r="D23" s="340">
        <v>106.42</v>
      </c>
      <c r="E23" s="340">
        <v>1786.15</v>
      </c>
      <c r="F23" s="367">
        <f>ROUND('T5A_PLAN_vs_PRFM '!H23*150/1000000,2)</f>
        <v>1845.38</v>
      </c>
      <c r="G23" s="379">
        <f t="shared" si="0"/>
        <v>47.190000000000055</v>
      </c>
      <c r="H23" s="752"/>
      <c r="I23" s="28"/>
      <c r="J23" s="28"/>
      <c r="K23" s="28"/>
      <c r="L23" s="19"/>
      <c r="O23" s="384"/>
      <c r="P23" s="14"/>
    </row>
    <row r="24" spans="1:16" x14ac:dyDescent="0.2">
      <c r="A24" s="18">
        <v>13</v>
      </c>
      <c r="B24" s="361" t="s">
        <v>902</v>
      </c>
      <c r="C24" s="379">
        <f>ROUND('T5A_PLAN_vs_PRFM '!F24*150/1000000,2)</f>
        <v>1288.08</v>
      </c>
      <c r="D24" s="340">
        <v>51.89</v>
      </c>
      <c r="E24" s="340">
        <v>1101.33</v>
      </c>
      <c r="F24" s="367">
        <f>ROUND('T5A_PLAN_vs_PRFM '!H24*150/1000000,2)</f>
        <v>1137.8499999999999</v>
      </c>
      <c r="G24" s="379">
        <f t="shared" si="0"/>
        <v>15.370000000000118</v>
      </c>
      <c r="H24" s="752"/>
      <c r="I24" s="28"/>
      <c r="J24" s="28"/>
      <c r="K24" s="28"/>
      <c r="L24" s="19"/>
      <c r="O24" s="384"/>
      <c r="P24" s="14"/>
    </row>
    <row r="25" spans="1:16" x14ac:dyDescent="0.2">
      <c r="A25" s="18">
        <v>14</v>
      </c>
      <c r="B25" s="361" t="s">
        <v>903</v>
      </c>
      <c r="C25" s="379">
        <f>ROUND('T5A_PLAN_vs_PRFM '!F25*150/1000000,2)</f>
        <v>1283.26</v>
      </c>
      <c r="D25" s="340">
        <v>51.69</v>
      </c>
      <c r="E25" s="340">
        <v>993.24</v>
      </c>
      <c r="F25" s="367">
        <f>ROUND('T5A_PLAN_vs_PRFM '!H25*150/1000000,2)</f>
        <v>1026.17</v>
      </c>
      <c r="G25" s="379">
        <f t="shared" si="0"/>
        <v>18.759999999999991</v>
      </c>
      <c r="H25" s="752"/>
      <c r="I25" s="28"/>
      <c r="J25" s="28"/>
      <c r="K25" s="28"/>
      <c r="L25" s="19"/>
      <c r="O25" s="384"/>
      <c r="P25" s="14"/>
    </row>
    <row r="26" spans="1:16" x14ac:dyDescent="0.2">
      <c r="A26" s="18">
        <v>15</v>
      </c>
      <c r="B26" s="361" t="s">
        <v>904</v>
      </c>
      <c r="C26" s="379">
        <f>ROUND('T5A_PLAN_vs_PRFM '!F26*150/1000000,2)</f>
        <v>1638.86</v>
      </c>
      <c r="D26" s="340">
        <v>66.02</v>
      </c>
      <c r="E26" s="340">
        <v>1213.72</v>
      </c>
      <c r="F26" s="367">
        <f>ROUND('T5A_PLAN_vs_PRFM '!H26*150/1000000,2)</f>
        <v>1253.96</v>
      </c>
      <c r="G26" s="379">
        <f t="shared" si="0"/>
        <v>25.779999999999973</v>
      </c>
      <c r="H26" s="752"/>
      <c r="I26" s="28"/>
      <c r="J26" s="28"/>
      <c r="K26" s="28"/>
      <c r="L26" s="19"/>
      <c r="O26" s="384"/>
      <c r="P26" s="14"/>
    </row>
    <row r="27" spans="1:16" x14ac:dyDescent="0.2">
      <c r="A27" s="18">
        <v>16</v>
      </c>
      <c r="B27" s="361" t="s">
        <v>905</v>
      </c>
      <c r="C27" s="379">
        <f>ROUND('T5A_PLAN_vs_PRFM '!F27*150/1000000,2)</f>
        <v>1049.1099999999999</v>
      </c>
      <c r="D27" s="340">
        <v>42.26</v>
      </c>
      <c r="E27" s="340">
        <v>895.74</v>
      </c>
      <c r="F27" s="367">
        <f>ROUND('T5A_PLAN_vs_PRFM '!H27*150/1000000,2)</f>
        <v>925.44</v>
      </c>
      <c r="G27" s="379">
        <f t="shared" si="0"/>
        <v>12.559999999999945</v>
      </c>
      <c r="H27" s="752"/>
      <c r="I27" s="28"/>
      <c r="J27" s="28"/>
      <c r="K27" s="28"/>
      <c r="L27" s="19"/>
      <c r="O27" s="384"/>
      <c r="P27" s="14"/>
    </row>
    <row r="28" spans="1:16" x14ac:dyDescent="0.2">
      <c r="A28" s="18">
        <v>17</v>
      </c>
      <c r="B28" s="361" t="s">
        <v>906</v>
      </c>
      <c r="C28" s="379">
        <f>ROUND('T5A_PLAN_vs_PRFM '!F28*150/1000000,2)</f>
        <v>1664.17</v>
      </c>
      <c r="D28" s="340">
        <v>67.040000000000006</v>
      </c>
      <c r="E28" s="340">
        <v>1318.1</v>
      </c>
      <c r="F28" s="367">
        <f>ROUND('T5A_PLAN_vs_PRFM '!H28*150/1000000,2)</f>
        <v>1361.81</v>
      </c>
      <c r="G28" s="379">
        <f t="shared" si="0"/>
        <v>23.329999999999927</v>
      </c>
      <c r="H28" s="752"/>
      <c r="I28" s="28"/>
      <c r="J28" s="28"/>
      <c r="K28" s="28"/>
      <c r="L28" s="19"/>
      <c r="O28" s="384"/>
      <c r="P28" s="14"/>
    </row>
    <row r="29" spans="1:16" x14ac:dyDescent="0.2">
      <c r="A29" s="18">
        <v>18</v>
      </c>
      <c r="B29" s="361" t="s">
        <v>907</v>
      </c>
      <c r="C29" s="379">
        <f>ROUND('T5A_PLAN_vs_PRFM '!F29*150/1000000,2)</f>
        <v>989.17</v>
      </c>
      <c r="D29" s="340">
        <v>39.85</v>
      </c>
      <c r="E29" s="340">
        <v>693.8</v>
      </c>
      <c r="F29" s="367">
        <f>ROUND('T5A_PLAN_vs_PRFM '!H29*150/1000000,2)</f>
        <v>716.8</v>
      </c>
      <c r="G29" s="379">
        <f t="shared" si="0"/>
        <v>16.850000000000023</v>
      </c>
      <c r="H29" s="752"/>
      <c r="I29" s="28"/>
      <c r="J29" s="28"/>
      <c r="K29" s="28"/>
      <c r="L29" s="19"/>
      <c r="O29" s="384"/>
      <c r="P29" s="14"/>
    </row>
    <row r="30" spans="1:16" x14ac:dyDescent="0.2">
      <c r="A30" s="18">
        <v>19</v>
      </c>
      <c r="B30" s="361" t="s">
        <v>908</v>
      </c>
      <c r="C30" s="379">
        <f>ROUND('T5A_PLAN_vs_PRFM '!F30*150/1000000,2)</f>
        <v>1920.1</v>
      </c>
      <c r="D30" s="340">
        <v>77.349999999999994</v>
      </c>
      <c r="E30" s="340">
        <v>1478.4</v>
      </c>
      <c r="F30" s="367">
        <f>ROUND('T5A_PLAN_vs_PRFM '!H30*150/1000000,2)</f>
        <v>1527.42</v>
      </c>
      <c r="G30" s="379">
        <f t="shared" si="0"/>
        <v>28.329999999999927</v>
      </c>
      <c r="H30" s="752"/>
      <c r="I30" s="28"/>
      <c r="J30" s="28"/>
      <c r="K30" s="28"/>
      <c r="L30" s="19"/>
      <c r="O30" s="384"/>
      <c r="P30" s="14"/>
    </row>
    <row r="31" spans="1:16" x14ac:dyDescent="0.2">
      <c r="A31" s="18">
        <v>20</v>
      </c>
      <c r="B31" s="361" t="s">
        <v>909</v>
      </c>
      <c r="C31" s="379">
        <f>ROUND('T5A_PLAN_vs_PRFM '!F31*150/1000000,2)</f>
        <v>1311.7</v>
      </c>
      <c r="D31" s="340">
        <v>52.84</v>
      </c>
      <c r="E31" s="340">
        <v>1015.46</v>
      </c>
      <c r="F31" s="367">
        <f>ROUND('T5A_PLAN_vs_PRFM '!H31*150/1000000,2)</f>
        <v>1049.1300000000001</v>
      </c>
      <c r="G31" s="379">
        <f t="shared" si="0"/>
        <v>19.169999999999845</v>
      </c>
      <c r="H31" s="752"/>
      <c r="I31" s="28"/>
      <c r="J31" s="28"/>
      <c r="K31" s="28"/>
      <c r="L31" s="19"/>
      <c r="O31" s="384"/>
      <c r="P31" s="14"/>
    </row>
    <row r="32" spans="1:16" x14ac:dyDescent="0.2">
      <c r="A32" s="18">
        <v>21</v>
      </c>
      <c r="B32" s="361" t="s">
        <v>910</v>
      </c>
      <c r="C32" s="379">
        <f>ROUND('T5A_PLAN_vs_PRFM '!F32*150/1000000,2)</f>
        <v>232.24</v>
      </c>
      <c r="D32" s="340">
        <v>9.36</v>
      </c>
      <c r="E32" s="340">
        <v>205.32</v>
      </c>
      <c r="F32" s="367">
        <f>ROUND('T5A_PLAN_vs_PRFM '!H32*150/1000000,2)</f>
        <v>212.13</v>
      </c>
      <c r="G32" s="379">
        <f t="shared" si="0"/>
        <v>2.5500000000000114</v>
      </c>
      <c r="H32" s="752"/>
      <c r="I32" s="28"/>
      <c r="J32" s="28"/>
      <c r="K32" s="28"/>
      <c r="L32" s="19"/>
      <c r="O32" s="384"/>
      <c r="P32" s="14"/>
    </row>
    <row r="33" spans="1:16" x14ac:dyDescent="0.2">
      <c r="A33" s="18">
        <v>22</v>
      </c>
      <c r="B33" s="361" t="s">
        <v>911</v>
      </c>
      <c r="C33" s="379">
        <f>ROUND('T5A_PLAN_vs_PRFM '!F33*150/1000000,2)</f>
        <v>1992.46</v>
      </c>
      <c r="D33" s="340">
        <v>80.260000000000005</v>
      </c>
      <c r="E33" s="340">
        <v>1497.34</v>
      </c>
      <c r="F33" s="367">
        <f>ROUND('T5A_PLAN_vs_PRFM '!H33*150/1000000,2)</f>
        <v>1546.99</v>
      </c>
      <c r="G33" s="379">
        <f t="shared" si="0"/>
        <v>30.6099999999999</v>
      </c>
      <c r="H33" s="752"/>
      <c r="I33" s="28"/>
      <c r="J33" s="28"/>
      <c r="K33" s="28"/>
      <c r="L33" s="19"/>
      <c r="O33" s="384"/>
      <c r="P33" s="14"/>
    </row>
    <row r="34" spans="1:16" x14ac:dyDescent="0.2">
      <c r="A34" s="18">
        <v>23</v>
      </c>
      <c r="B34" s="361" t="s">
        <v>912</v>
      </c>
      <c r="C34" s="379">
        <f>ROUND('T5A_PLAN_vs_PRFM '!F34*150/1000000,2)</f>
        <v>2469.5300000000002</v>
      </c>
      <c r="D34" s="340">
        <v>99.48</v>
      </c>
      <c r="E34" s="340">
        <v>1971.61</v>
      </c>
      <c r="F34" s="367">
        <f>ROUND('T5A_PLAN_vs_PRFM '!H34*150/1000000,2)</f>
        <v>2036.98</v>
      </c>
      <c r="G34" s="379">
        <f t="shared" si="0"/>
        <v>34.109999999999673</v>
      </c>
      <c r="H34" s="752"/>
      <c r="I34" s="28"/>
      <c r="J34" s="28"/>
      <c r="K34" s="28"/>
      <c r="L34" s="19"/>
      <c r="O34" s="384"/>
      <c r="P34" s="14"/>
    </row>
    <row r="35" spans="1:16" x14ac:dyDescent="0.2">
      <c r="A35" s="18">
        <v>24</v>
      </c>
      <c r="B35" s="361" t="s">
        <v>913</v>
      </c>
      <c r="C35" s="379">
        <f>ROUND('T5A_PLAN_vs_PRFM '!F35*150/1000000,2)</f>
        <v>2485.5500000000002</v>
      </c>
      <c r="D35" s="340">
        <v>100.13</v>
      </c>
      <c r="E35" s="340">
        <v>2078.96</v>
      </c>
      <c r="F35" s="367">
        <f>ROUND('T5A_PLAN_vs_PRFM '!H35*150/1000000,2)</f>
        <v>2147.89</v>
      </c>
      <c r="G35" s="379">
        <f t="shared" si="0"/>
        <v>31.200000000000273</v>
      </c>
      <c r="H35" s="752"/>
      <c r="I35" s="28"/>
      <c r="J35" s="28"/>
      <c r="K35" s="28"/>
      <c r="L35" s="19"/>
      <c r="O35" s="384"/>
      <c r="P35" s="14"/>
    </row>
    <row r="36" spans="1:16" x14ac:dyDescent="0.2">
      <c r="A36" s="18">
        <v>25</v>
      </c>
      <c r="B36" s="361" t="s">
        <v>919</v>
      </c>
      <c r="C36" s="379">
        <f>ROUND('T5A_PLAN_vs_PRFM '!F36*150/1000000,2)</f>
        <v>1213.02</v>
      </c>
      <c r="D36" s="340">
        <v>48.87</v>
      </c>
      <c r="E36" s="340">
        <v>972.54</v>
      </c>
      <c r="F36" s="367">
        <f>ROUND('T5A_PLAN_vs_PRFM '!H36*150/1000000,2)</f>
        <v>1004.79</v>
      </c>
      <c r="G36" s="379">
        <f t="shared" si="0"/>
        <v>16.620000000000005</v>
      </c>
      <c r="H36" s="752"/>
      <c r="I36" s="28"/>
      <c r="J36" s="28"/>
      <c r="K36" s="28"/>
      <c r="L36" s="19"/>
      <c r="O36" s="384"/>
      <c r="P36" s="14"/>
    </row>
    <row r="37" spans="1:16" x14ac:dyDescent="0.2">
      <c r="A37" s="18">
        <v>26</v>
      </c>
      <c r="B37" s="361" t="s">
        <v>914</v>
      </c>
      <c r="C37" s="379">
        <f>ROUND('T5A_PLAN_vs_PRFM '!F37*150/1000000,2)</f>
        <v>282.95999999999998</v>
      </c>
      <c r="D37" s="340">
        <v>11.4</v>
      </c>
      <c r="E37" s="340">
        <v>241.17</v>
      </c>
      <c r="F37" s="367">
        <f>ROUND('T5A_PLAN_vs_PRFM '!H37*150/1000000,2)</f>
        <v>249.17</v>
      </c>
      <c r="G37" s="379">
        <f t="shared" si="0"/>
        <v>3.4000000000000057</v>
      </c>
      <c r="H37" s="752"/>
      <c r="I37" s="28"/>
      <c r="J37" s="28"/>
      <c r="K37" s="28"/>
      <c r="L37" s="19"/>
      <c r="O37" s="384"/>
      <c r="P37" s="14"/>
    </row>
    <row r="38" spans="1:16" ht="15" x14ac:dyDescent="0.2">
      <c r="A38" s="18">
        <v>27</v>
      </c>
      <c r="B38" s="362" t="s">
        <v>915</v>
      </c>
      <c r="C38" s="379">
        <f>ROUND('T5A_PLAN_vs_PRFM '!F38*150/1000000,2)</f>
        <v>1284.5899999999999</v>
      </c>
      <c r="D38" s="340">
        <v>51.73</v>
      </c>
      <c r="E38" s="340">
        <v>1008.06</v>
      </c>
      <c r="F38" s="367">
        <f>ROUND('T5A_PLAN_vs_PRFM '!H38*150/1000000,2)</f>
        <v>1041.49</v>
      </c>
      <c r="G38" s="379">
        <f t="shared" si="0"/>
        <v>18.299999999999955</v>
      </c>
      <c r="H38" s="752"/>
      <c r="I38" s="28"/>
      <c r="J38" s="28"/>
      <c r="K38" s="28"/>
      <c r="L38" s="19"/>
      <c r="O38" s="384"/>
    </row>
    <row r="39" spans="1:16" x14ac:dyDescent="0.2">
      <c r="A39" s="3" t="s">
        <v>18</v>
      </c>
      <c r="B39" s="19"/>
      <c r="C39" s="380">
        <f>SUM(C12:C38)</f>
        <v>39600.029999999992</v>
      </c>
      <c r="D39" s="380">
        <f>SUM(D12:D38)</f>
        <v>1595.2499999999995</v>
      </c>
      <c r="E39" s="380">
        <f>SUM(E12:E38)</f>
        <v>30756.530000000002</v>
      </c>
      <c r="F39" s="380">
        <f>SUM(F12:F38)</f>
        <v>31776.34</v>
      </c>
      <c r="G39" s="380">
        <f>SUM(G12:G38)</f>
        <v>575.4399999999996</v>
      </c>
      <c r="H39" s="28"/>
      <c r="I39" s="28"/>
      <c r="J39" s="28"/>
      <c r="K39" s="28"/>
      <c r="L39" s="19"/>
    </row>
    <row r="40" spans="1:16" x14ac:dyDescent="0.2">
      <c r="A40" s="21" t="s">
        <v>656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6" ht="15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6" ht="15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6" s="569" customFormat="1" ht="14.25" customHeight="1" x14ac:dyDescent="0.2">
      <c r="A43" s="563"/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</row>
    <row r="44" spans="1:16" s="569" customFormat="1" ht="12.75" customHeight="1" x14ac:dyDescent="0.2">
      <c r="A44" s="563"/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</row>
    <row r="45" spans="1:16" s="569" customFormat="1" ht="12.75" customHeight="1" x14ac:dyDescent="0.2">
      <c r="A45" s="563"/>
      <c r="B45" s="563"/>
      <c r="C45" s="563"/>
      <c r="D45" s="563"/>
      <c r="E45" s="563"/>
      <c r="F45" s="563"/>
      <c r="G45" s="810" t="s">
        <v>13</v>
      </c>
      <c r="H45" s="810"/>
      <c r="I45" s="810"/>
      <c r="J45" s="810"/>
      <c r="K45" s="810"/>
      <c r="L45" s="563"/>
    </row>
    <row r="46" spans="1:16" s="569" customFormat="1" x14ac:dyDescent="0.2">
      <c r="A46" s="14"/>
      <c r="B46" s="14"/>
      <c r="C46" s="14"/>
      <c r="D46" s="14"/>
      <c r="E46" s="14"/>
      <c r="F46" s="14"/>
      <c r="G46" s="810" t="s">
        <v>14</v>
      </c>
      <c r="H46" s="810"/>
      <c r="I46" s="810"/>
      <c r="J46" s="810"/>
      <c r="K46" s="810"/>
      <c r="L46" s="36"/>
      <c r="M46" s="36"/>
    </row>
    <row r="47" spans="1:16" s="569" customFormat="1" x14ac:dyDescent="0.2">
      <c r="A47" s="14"/>
      <c r="B47" s="657"/>
      <c r="C47" s="657"/>
      <c r="D47" s="657"/>
      <c r="E47" s="657"/>
      <c r="F47" s="657"/>
      <c r="G47" s="810" t="s">
        <v>918</v>
      </c>
      <c r="H47" s="810"/>
      <c r="I47" s="810"/>
      <c r="J47" s="810"/>
      <c r="K47" s="810"/>
      <c r="L47" s="657"/>
    </row>
    <row r="48" spans="1:16" ht="15" x14ac:dyDescent="0.25">
      <c r="A48" s="492" t="s">
        <v>12</v>
      </c>
      <c r="B48" s="663"/>
      <c r="C48" s="663"/>
      <c r="D48" s="663"/>
      <c r="E48" s="663"/>
      <c r="F48" s="663"/>
      <c r="G48" s="207" t="s">
        <v>82</v>
      </c>
      <c r="H48" s="207"/>
      <c r="I48" s="207"/>
      <c r="J48" s="207"/>
      <c r="K48" s="207"/>
      <c r="L48" s="663"/>
    </row>
  </sheetData>
  <mergeCells count="13">
    <mergeCell ref="G45:K45"/>
    <mergeCell ref="G46:K46"/>
    <mergeCell ref="G47:K47"/>
    <mergeCell ref="F7:L7"/>
    <mergeCell ref="L1:N1"/>
    <mergeCell ref="A2:L2"/>
    <mergeCell ref="A3:L3"/>
    <mergeCell ref="A5:L5"/>
    <mergeCell ref="I8:L8"/>
    <mergeCell ref="A9:A10"/>
    <mergeCell ref="B9:B10"/>
    <mergeCell ref="C9:G9"/>
    <mergeCell ref="H9:L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4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O48"/>
  <sheetViews>
    <sheetView topLeftCell="A24" zoomScaleSheetLayoutView="80" workbookViewId="0">
      <selection activeCell="O40" sqref="O40"/>
    </sheetView>
  </sheetViews>
  <sheetFormatPr defaultRowHeight="12.75" x14ac:dyDescent="0.2"/>
  <cols>
    <col min="1" max="1" width="5.7109375" style="132" customWidth="1"/>
    <col min="2" max="2" width="15.7109375" style="132" customWidth="1"/>
    <col min="3" max="3" width="13" style="132" customWidth="1"/>
    <col min="4" max="4" width="12" style="132" customWidth="1"/>
    <col min="5" max="5" width="12.42578125" style="132" customWidth="1"/>
    <col min="6" max="6" width="12.7109375" style="132" customWidth="1"/>
    <col min="7" max="7" width="13.140625" style="132" customWidth="1"/>
    <col min="8" max="8" width="12.7109375" style="132" customWidth="1"/>
    <col min="9" max="9" width="12.140625" style="132" customWidth="1"/>
    <col min="10" max="10" width="12.140625" style="253" customWidth="1"/>
    <col min="11" max="11" width="16.5703125" style="132" customWidth="1"/>
    <col min="12" max="12" width="13.140625" style="132" customWidth="1"/>
    <col min="13" max="13" width="12.7109375" style="132" customWidth="1"/>
    <col min="14" max="16384" width="9.140625" style="132"/>
  </cols>
  <sheetData>
    <row r="1" spans="1:15" x14ac:dyDescent="0.2">
      <c r="K1" s="864" t="s">
        <v>204</v>
      </c>
      <c r="L1" s="864"/>
      <c r="M1" s="864"/>
    </row>
    <row r="2" spans="1:15" ht="12.75" customHeight="1" x14ac:dyDescent="0.2"/>
    <row r="3" spans="1:15" ht="15.75" x14ac:dyDescent="0.25">
      <c r="B3" s="945" t="s">
        <v>0</v>
      </c>
      <c r="C3" s="945"/>
      <c r="D3" s="945"/>
      <c r="E3" s="945"/>
      <c r="F3" s="945"/>
      <c r="G3" s="945"/>
      <c r="H3" s="945"/>
      <c r="I3" s="945"/>
      <c r="J3" s="945"/>
      <c r="K3" s="945"/>
    </row>
    <row r="4" spans="1:15" ht="20.25" x14ac:dyDescent="0.3">
      <c r="B4" s="946" t="s">
        <v>738</v>
      </c>
      <c r="C4" s="946"/>
      <c r="D4" s="946"/>
      <c r="E4" s="946"/>
      <c r="F4" s="946"/>
      <c r="G4" s="946"/>
      <c r="H4" s="946"/>
      <c r="I4" s="946"/>
      <c r="J4" s="946"/>
      <c r="K4" s="946"/>
    </row>
    <row r="5" spans="1:15" ht="10.5" customHeight="1" x14ac:dyDescent="0.2"/>
    <row r="6" spans="1:15" ht="15.75" x14ac:dyDescent="0.25">
      <c r="A6" s="235" t="s">
        <v>805</v>
      </c>
      <c r="B6" s="235"/>
      <c r="C6" s="235"/>
      <c r="D6" s="235"/>
      <c r="E6" s="235"/>
      <c r="F6" s="235"/>
      <c r="G6" s="235"/>
      <c r="H6" s="235"/>
      <c r="I6" s="235"/>
      <c r="J6" s="254"/>
      <c r="K6" s="235"/>
    </row>
    <row r="7" spans="1:15" ht="15.75" x14ac:dyDescent="0.25">
      <c r="B7" s="133"/>
      <c r="C7" s="133"/>
      <c r="D7" s="133"/>
      <c r="E7" s="133"/>
      <c r="F7" s="133"/>
      <c r="G7" s="133"/>
      <c r="H7" s="133"/>
      <c r="L7" s="951" t="s">
        <v>185</v>
      </c>
      <c r="M7" s="951"/>
    </row>
    <row r="8" spans="1:15" ht="16.5" x14ac:dyDescent="0.3">
      <c r="A8" s="197" t="s">
        <v>917</v>
      </c>
      <c r="B8" s="197" t="s">
        <v>916</v>
      </c>
      <c r="C8" s="133"/>
      <c r="D8" s="133"/>
      <c r="E8" s="133"/>
      <c r="F8" s="133"/>
      <c r="G8" s="925" t="s">
        <v>1186</v>
      </c>
      <c r="H8" s="925"/>
      <c r="I8" s="925"/>
      <c r="J8" s="925"/>
      <c r="K8" s="925"/>
      <c r="L8" s="925"/>
      <c r="M8" s="925"/>
    </row>
    <row r="9" spans="1:15" x14ac:dyDescent="0.2">
      <c r="A9" s="952" t="s">
        <v>22</v>
      </c>
      <c r="B9" s="955" t="s">
        <v>3</v>
      </c>
      <c r="C9" s="947" t="s">
        <v>843</v>
      </c>
      <c r="D9" s="947" t="s">
        <v>820</v>
      </c>
      <c r="E9" s="947" t="s">
        <v>218</v>
      </c>
      <c r="F9" s="947" t="s">
        <v>217</v>
      </c>
      <c r="G9" s="947"/>
      <c r="H9" s="947" t="s">
        <v>182</v>
      </c>
      <c r="I9" s="947"/>
      <c r="J9" s="948" t="s">
        <v>430</v>
      </c>
      <c r="K9" s="947" t="s">
        <v>184</v>
      </c>
      <c r="L9" s="947" t="s">
        <v>407</v>
      </c>
      <c r="M9" s="947" t="s">
        <v>231</v>
      </c>
    </row>
    <row r="10" spans="1:15" x14ac:dyDescent="0.2">
      <c r="A10" s="953"/>
      <c r="B10" s="955"/>
      <c r="C10" s="947"/>
      <c r="D10" s="947"/>
      <c r="E10" s="947"/>
      <c r="F10" s="947"/>
      <c r="G10" s="947"/>
      <c r="H10" s="947"/>
      <c r="I10" s="947"/>
      <c r="J10" s="949"/>
      <c r="K10" s="947"/>
      <c r="L10" s="947"/>
      <c r="M10" s="947"/>
    </row>
    <row r="11" spans="1:15" ht="41.25" customHeight="1" x14ac:dyDescent="0.2">
      <c r="A11" s="954"/>
      <c r="B11" s="955"/>
      <c r="C11" s="947"/>
      <c r="D11" s="947"/>
      <c r="E11" s="947"/>
      <c r="F11" s="134" t="s">
        <v>183</v>
      </c>
      <c r="G11" s="134" t="s">
        <v>232</v>
      </c>
      <c r="H11" s="134" t="s">
        <v>183</v>
      </c>
      <c r="I11" s="134" t="s">
        <v>232</v>
      </c>
      <c r="J11" s="950"/>
      <c r="K11" s="947"/>
      <c r="L11" s="947"/>
      <c r="M11" s="947"/>
    </row>
    <row r="12" spans="1:15" x14ac:dyDescent="0.2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0">
        <v>6</v>
      </c>
      <c r="G12" s="140">
        <v>7</v>
      </c>
      <c r="H12" s="140">
        <v>8</v>
      </c>
      <c r="I12" s="140">
        <v>9</v>
      </c>
      <c r="J12" s="255"/>
      <c r="K12" s="140">
        <v>10</v>
      </c>
      <c r="L12" s="157">
        <v>11</v>
      </c>
      <c r="M12" s="157">
        <v>12</v>
      </c>
    </row>
    <row r="13" spans="1:15" x14ac:dyDescent="0.2">
      <c r="A13" s="139">
        <v>1</v>
      </c>
      <c r="B13" s="361" t="s">
        <v>890</v>
      </c>
      <c r="C13" s="385">
        <v>66.69</v>
      </c>
      <c r="D13" s="385">
        <v>13.07</v>
      </c>
      <c r="E13" s="385">
        <v>53.62</v>
      </c>
      <c r="F13" s="385">
        <f>ROUND((T6_FG_py_Utlsn!E12+'T6A_FG_Upy_Utlsn '!E12),2)</f>
        <v>2067.9899999999998</v>
      </c>
      <c r="G13" s="385">
        <f>ROUND(F13*3000/100000,2)</f>
        <v>62.04</v>
      </c>
      <c r="H13" s="385">
        <v>2067.9899999999998</v>
      </c>
      <c r="I13" s="385">
        <v>62.04</v>
      </c>
      <c r="J13" s="255">
        <v>0</v>
      </c>
      <c r="K13" s="385">
        <f>D13+E13-I13</f>
        <v>4.6499999999999986</v>
      </c>
      <c r="L13" s="157"/>
      <c r="M13" s="157"/>
      <c r="O13" s="800"/>
    </row>
    <row r="14" spans="1:15" x14ac:dyDescent="0.2">
      <c r="A14" s="139">
        <v>2</v>
      </c>
      <c r="B14" s="361" t="s">
        <v>891</v>
      </c>
      <c r="C14" s="385">
        <v>141.31</v>
      </c>
      <c r="D14" s="385">
        <v>27.69</v>
      </c>
      <c r="E14" s="385">
        <v>113.62</v>
      </c>
      <c r="F14" s="385">
        <f>ROUND((T6_FG_py_Utlsn!E13+'T6A_FG_Upy_Utlsn '!E13),2)</f>
        <v>4007.3</v>
      </c>
      <c r="G14" s="385">
        <f t="shared" ref="G14:G39" si="0">ROUND(F14*3000/100000,2)</f>
        <v>120.22</v>
      </c>
      <c r="H14" s="385">
        <v>4007.3</v>
      </c>
      <c r="I14" s="385">
        <v>120.22</v>
      </c>
      <c r="J14" s="255">
        <v>0</v>
      </c>
      <c r="K14" s="385">
        <f t="shared" ref="K14:K39" si="1">D14+E14-I14</f>
        <v>21.090000000000003</v>
      </c>
      <c r="L14" s="157"/>
      <c r="M14" s="157"/>
      <c r="O14" s="800"/>
    </row>
    <row r="15" spans="1:15" x14ac:dyDescent="0.2">
      <c r="A15" s="139">
        <v>3</v>
      </c>
      <c r="B15" s="361" t="s">
        <v>892</v>
      </c>
      <c r="C15" s="385">
        <v>84.61</v>
      </c>
      <c r="D15" s="385">
        <v>16.579999999999998</v>
      </c>
      <c r="E15" s="385">
        <v>68.03</v>
      </c>
      <c r="F15" s="385">
        <f>ROUND((T6_FG_py_Utlsn!E14+'T6A_FG_Upy_Utlsn '!E14),2)</f>
        <v>2402.7800000000002</v>
      </c>
      <c r="G15" s="385">
        <f t="shared" si="0"/>
        <v>72.08</v>
      </c>
      <c r="H15" s="385">
        <v>2402.7800000000002</v>
      </c>
      <c r="I15" s="385">
        <v>72.08</v>
      </c>
      <c r="J15" s="255">
        <v>0</v>
      </c>
      <c r="K15" s="385">
        <f t="shared" si="1"/>
        <v>12.530000000000001</v>
      </c>
      <c r="L15" s="157"/>
      <c r="M15" s="157"/>
      <c r="O15" s="800"/>
    </row>
    <row r="16" spans="1:15" x14ac:dyDescent="0.2">
      <c r="A16" s="139">
        <v>4</v>
      </c>
      <c r="B16" s="361" t="s">
        <v>893</v>
      </c>
      <c r="C16" s="385">
        <v>78.740000000000009</v>
      </c>
      <c r="D16" s="385">
        <v>15.43</v>
      </c>
      <c r="E16" s="385">
        <v>63.31</v>
      </c>
      <c r="F16" s="385">
        <f>ROUND((T6_FG_py_Utlsn!E15+'T6A_FG_Upy_Utlsn '!E15),2)</f>
        <v>2278.92</v>
      </c>
      <c r="G16" s="385">
        <f t="shared" si="0"/>
        <v>68.37</v>
      </c>
      <c r="H16" s="385">
        <v>2278.92</v>
      </c>
      <c r="I16" s="385">
        <v>68.37</v>
      </c>
      <c r="J16" s="255">
        <v>0</v>
      </c>
      <c r="K16" s="385">
        <f t="shared" si="1"/>
        <v>10.370000000000005</v>
      </c>
      <c r="L16" s="157"/>
      <c r="M16" s="157"/>
      <c r="O16" s="800"/>
    </row>
    <row r="17" spans="1:15" x14ac:dyDescent="0.2">
      <c r="A17" s="139">
        <v>5</v>
      </c>
      <c r="B17" s="361" t="s">
        <v>894</v>
      </c>
      <c r="C17" s="385">
        <v>91.55</v>
      </c>
      <c r="D17" s="385">
        <v>17.940000000000001</v>
      </c>
      <c r="E17" s="385">
        <v>73.61</v>
      </c>
      <c r="F17" s="385">
        <f>ROUND((T6_FG_py_Utlsn!E16+'T6A_FG_Upy_Utlsn '!E16),2)</f>
        <v>2606.59</v>
      </c>
      <c r="G17" s="385">
        <f t="shared" si="0"/>
        <v>78.2</v>
      </c>
      <c r="H17" s="385">
        <v>2606.59</v>
      </c>
      <c r="I17" s="385">
        <v>78.2</v>
      </c>
      <c r="J17" s="255">
        <v>0</v>
      </c>
      <c r="K17" s="385">
        <f t="shared" si="1"/>
        <v>13.349999999999994</v>
      </c>
      <c r="L17" s="157"/>
      <c r="M17" s="157"/>
      <c r="O17" s="800"/>
    </row>
    <row r="18" spans="1:15" x14ac:dyDescent="0.2">
      <c r="A18" s="139">
        <v>6</v>
      </c>
      <c r="B18" s="361" t="s">
        <v>895</v>
      </c>
      <c r="C18" s="385">
        <v>29.169999999999998</v>
      </c>
      <c r="D18" s="385">
        <v>5.72</v>
      </c>
      <c r="E18" s="385">
        <v>23.45</v>
      </c>
      <c r="F18" s="385">
        <f>ROUND((T6_FG_py_Utlsn!E17+'T6A_FG_Upy_Utlsn '!E17),2)</f>
        <v>898.81</v>
      </c>
      <c r="G18" s="385">
        <f t="shared" si="0"/>
        <v>26.96</v>
      </c>
      <c r="H18" s="385">
        <v>898.81</v>
      </c>
      <c r="I18" s="385">
        <v>26.96</v>
      </c>
      <c r="J18" s="255">
        <v>0</v>
      </c>
      <c r="K18" s="385">
        <f t="shared" si="1"/>
        <v>2.2099999999999973</v>
      </c>
      <c r="L18" s="157"/>
      <c r="M18" s="157"/>
      <c r="O18" s="800"/>
    </row>
    <row r="19" spans="1:15" x14ac:dyDescent="0.2">
      <c r="A19" s="139">
        <v>7</v>
      </c>
      <c r="B19" s="361" t="s">
        <v>896</v>
      </c>
      <c r="C19" s="385">
        <v>185.17999999999998</v>
      </c>
      <c r="D19" s="385">
        <v>36.29</v>
      </c>
      <c r="E19" s="385">
        <v>148.88999999999999</v>
      </c>
      <c r="F19" s="385">
        <f>ROUND((T6_FG_py_Utlsn!E18+'T6A_FG_Upy_Utlsn '!E18),2)</f>
        <v>5027.92</v>
      </c>
      <c r="G19" s="385">
        <f t="shared" si="0"/>
        <v>150.84</v>
      </c>
      <c r="H19" s="385">
        <v>5027.92</v>
      </c>
      <c r="I19" s="385">
        <v>150.84</v>
      </c>
      <c r="J19" s="255">
        <v>0</v>
      </c>
      <c r="K19" s="385">
        <f t="shared" si="1"/>
        <v>34.339999999999975</v>
      </c>
      <c r="L19" s="157"/>
      <c r="M19" s="157"/>
      <c r="O19" s="800"/>
    </row>
    <row r="20" spans="1:15" x14ac:dyDescent="0.2">
      <c r="A20" s="139">
        <v>8</v>
      </c>
      <c r="B20" s="361" t="s">
        <v>897</v>
      </c>
      <c r="C20" s="385">
        <v>27.310000000000002</v>
      </c>
      <c r="D20" s="385">
        <v>5.35</v>
      </c>
      <c r="E20" s="385">
        <v>21.96</v>
      </c>
      <c r="F20" s="385">
        <f>ROUND((T6_FG_py_Utlsn!E19+'T6A_FG_Upy_Utlsn '!E19),2)</f>
        <v>851.56</v>
      </c>
      <c r="G20" s="385">
        <f t="shared" si="0"/>
        <v>25.55</v>
      </c>
      <c r="H20" s="385">
        <v>851.56</v>
      </c>
      <c r="I20" s="385">
        <v>25.55</v>
      </c>
      <c r="J20" s="255">
        <v>0</v>
      </c>
      <c r="K20" s="385">
        <f t="shared" si="1"/>
        <v>1.7600000000000016</v>
      </c>
      <c r="L20" s="157"/>
      <c r="M20" s="157"/>
      <c r="O20" s="800"/>
    </row>
    <row r="21" spans="1:15" x14ac:dyDescent="0.2">
      <c r="A21" s="139">
        <v>9</v>
      </c>
      <c r="B21" s="361" t="s">
        <v>898</v>
      </c>
      <c r="C21" s="385">
        <v>65.36</v>
      </c>
      <c r="D21" s="385">
        <v>12.81</v>
      </c>
      <c r="E21" s="385">
        <v>52.55</v>
      </c>
      <c r="F21" s="385">
        <f>ROUND((T6_FG_py_Utlsn!E20+'T6A_FG_Upy_Utlsn '!E20),2)</f>
        <v>1948.11</v>
      </c>
      <c r="G21" s="385">
        <f t="shared" si="0"/>
        <v>58.44</v>
      </c>
      <c r="H21" s="385">
        <v>1948.11</v>
      </c>
      <c r="I21" s="385">
        <v>58.44</v>
      </c>
      <c r="J21" s="255">
        <v>0</v>
      </c>
      <c r="K21" s="385">
        <f t="shared" si="1"/>
        <v>6.9200000000000017</v>
      </c>
      <c r="L21" s="157"/>
      <c r="M21" s="157"/>
      <c r="O21" s="800"/>
    </row>
    <row r="22" spans="1:15" x14ac:dyDescent="0.2">
      <c r="A22" s="139">
        <v>10</v>
      </c>
      <c r="B22" s="361" t="s">
        <v>899</v>
      </c>
      <c r="C22" s="385">
        <v>83.37</v>
      </c>
      <c r="D22" s="385">
        <v>16.34</v>
      </c>
      <c r="E22" s="385">
        <v>67.03</v>
      </c>
      <c r="F22" s="385">
        <f>ROUND((T6_FG_py_Utlsn!E21+'T6A_FG_Upy_Utlsn '!E21),2)</f>
        <v>2438.1999999999998</v>
      </c>
      <c r="G22" s="385">
        <f t="shared" si="0"/>
        <v>73.150000000000006</v>
      </c>
      <c r="H22" s="385">
        <v>2438.1999999999998</v>
      </c>
      <c r="I22" s="385">
        <v>73.150000000000006</v>
      </c>
      <c r="J22" s="255">
        <v>0</v>
      </c>
      <c r="K22" s="385">
        <f t="shared" si="1"/>
        <v>10.219999999999999</v>
      </c>
      <c r="L22" s="157"/>
      <c r="M22" s="157"/>
      <c r="O22" s="800"/>
    </row>
    <row r="23" spans="1:15" x14ac:dyDescent="0.2">
      <c r="A23" s="139">
        <v>11</v>
      </c>
      <c r="B23" s="361" t="s">
        <v>900</v>
      </c>
      <c r="C23" s="385">
        <v>59.669999999999995</v>
      </c>
      <c r="D23" s="385">
        <v>11.69</v>
      </c>
      <c r="E23" s="385">
        <v>47.98</v>
      </c>
      <c r="F23" s="385">
        <f>ROUND((T6_FG_py_Utlsn!E22+'T6A_FG_Upy_Utlsn '!E22),2)</f>
        <v>1860.44</v>
      </c>
      <c r="G23" s="385">
        <f t="shared" si="0"/>
        <v>55.81</v>
      </c>
      <c r="H23" s="385">
        <v>1860.44</v>
      </c>
      <c r="I23" s="385">
        <v>55.81</v>
      </c>
      <c r="J23" s="255">
        <v>0</v>
      </c>
      <c r="K23" s="385">
        <f t="shared" si="1"/>
        <v>3.8599999999999923</v>
      </c>
      <c r="L23" s="157"/>
      <c r="M23" s="157"/>
      <c r="O23" s="800"/>
    </row>
    <row r="24" spans="1:15" ht="15.75" customHeight="1" x14ac:dyDescent="0.2">
      <c r="A24" s="139">
        <v>12</v>
      </c>
      <c r="B24" s="361" t="s">
        <v>901</v>
      </c>
      <c r="C24" s="385">
        <v>142.77000000000001</v>
      </c>
      <c r="D24" s="385">
        <v>27.98</v>
      </c>
      <c r="E24" s="385">
        <v>114.79</v>
      </c>
      <c r="F24" s="385">
        <f>ROUND((T6_FG_py_Utlsn!E23+'T6A_FG_Upy_Utlsn '!E23),2)</f>
        <v>3713.4</v>
      </c>
      <c r="G24" s="385">
        <f t="shared" si="0"/>
        <v>111.4</v>
      </c>
      <c r="H24" s="385">
        <v>3713.4</v>
      </c>
      <c r="I24" s="385">
        <v>111.4</v>
      </c>
      <c r="J24" s="255">
        <v>0</v>
      </c>
      <c r="K24" s="385">
        <f t="shared" si="1"/>
        <v>31.370000000000005</v>
      </c>
      <c r="L24" s="135"/>
      <c r="M24" s="135"/>
      <c r="O24" s="800"/>
    </row>
    <row r="25" spans="1:15" x14ac:dyDescent="0.2">
      <c r="A25" s="139">
        <v>13</v>
      </c>
      <c r="B25" s="361" t="s">
        <v>902</v>
      </c>
      <c r="C25" s="385">
        <v>77.47999999999999</v>
      </c>
      <c r="D25" s="385">
        <v>15.18</v>
      </c>
      <c r="E25" s="385">
        <v>62.3</v>
      </c>
      <c r="F25" s="385">
        <f>ROUND((T6_FG_py_Utlsn!E24+'T6A_FG_Upy_Utlsn '!E24),2)</f>
        <v>2455.4499999999998</v>
      </c>
      <c r="G25" s="385">
        <f t="shared" si="0"/>
        <v>73.66</v>
      </c>
      <c r="H25" s="385">
        <v>2455.4499999999998</v>
      </c>
      <c r="I25" s="385">
        <v>73.66</v>
      </c>
      <c r="J25" s="255">
        <v>0</v>
      </c>
      <c r="K25" s="385">
        <f t="shared" si="1"/>
        <v>3.8199999999999932</v>
      </c>
      <c r="L25" s="135"/>
      <c r="M25" s="135"/>
      <c r="O25" s="800"/>
    </row>
    <row r="26" spans="1:15" x14ac:dyDescent="0.2">
      <c r="A26" s="139">
        <v>14</v>
      </c>
      <c r="B26" s="361" t="s">
        <v>903</v>
      </c>
      <c r="C26" s="385">
        <v>71.069999999999993</v>
      </c>
      <c r="D26" s="385">
        <v>13.93</v>
      </c>
      <c r="E26" s="385">
        <v>57.14</v>
      </c>
      <c r="F26" s="385">
        <f>ROUND((T6_FG_py_Utlsn!E25+'T6A_FG_Upy_Utlsn '!E25),2)</f>
        <v>2147.39</v>
      </c>
      <c r="G26" s="385">
        <f t="shared" si="0"/>
        <v>64.42</v>
      </c>
      <c r="H26" s="385">
        <v>2147.39</v>
      </c>
      <c r="I26" s="385">
        <v>64.42</v>
      </c>
      <c r="J26" s="255">
        <v>0</v>
      </c>
      <c r="K26" s="385">
        <f t="shared" si="1"/>
        <v>6.6499999999999915</v>
      </c>
      <c r="L26" s="135"/>
      <c r="M26" s="135"/>
      <c r="O26" s="800"/>
    </row>
    <row r="27" spans="1:15" x14ac:dyDescent="0.2">
      <c r="A27" s="139">
        <v>15</v>
      </c>
      <c r="B27" s="361" t="s">
        <v>904</v>
      </c>
      <c r="C27" s="385">
        <v>95.21</v>
      </c>
      <c r="D27" s="385">
        <v>18.66</v>
      </c>
      <c r="E27" s="385">
        <v>76.55</v>
      </c>
      <c r="F27" s="385">
        <f>ROUND((T6_FG_py_Utlsn!E26+'T6A_FG_Upy_Utlsn '!E26),2)</f>
        <v>2688.88</v>
      </c>
      <c r="G27" s="385">
        <f t="shared" si="0"/>
        <v>80.67</v>
      </c>
      <c r="H27" s="385">
        <v>2688.88</v>
      </c>
      <c r="I27" s="385">
        <v>80.67</v>
      </c>
      <c r="J27" s="255">
        <v>0</v>
      </c>
      <c r="K27" s="385">
        <f t="shared" si="1"/>
        <v>14.539999999999992</v>
      </c>
      <c r="L27" s="135"/>
      <c r="M27" s="135"/>
      <c r="O27" s="800"/>
    </row>
    <row r="28" spans="1:15" x14ac:dyDescent="0.2">
      <c r="A28" s="139">
        <v>16</v>
      </c>
      <c r="B28" s="361" t="s">
        <v>905</v>
      </c>
      <c r="C28" s="385">
        <v>62.61</v>
      </c>
      <c r="D28" s="385">
        <v>12.27</v>
      </c>
      <c r="E28" s="385">
        <v>50.34</v>
      </c>
      <c r="F28" s="385">
        <f>ROUND((T6_FG_py_Utlsn!E27+'T6A_FG_Upy_Utlsn '!E27),2)</f>
        <v>1978.6</v>
      </c>
      <c r="G28" s="385">
        <f t="shared" si="0"/>
        <v>59.36</v>
      </c>
      <c r="H28" s="385">
        <v>1978.6</v>
      </c>
      <c r="I28" s="385">
        <v>59.36</v>
      </c>
      <c r="J28" s="255">
        <v>0</v>
      </c>
      <c r="K28" s="385">
        <f t="shared" si="1"/>
        <v>3.25</v>
      </c>
      <c r="L28" s="135"/>
      <c r="M28" s="135"/>
      <c r="O28" s="800"/>
    </row>
    <row r="29" spans="1:15" s="137" customFormat="1" x14ac:dyDescent="0.2">
      <c r="A29" s="139">
        <v>17</v>
      </c>
      <c r="B29" s="361" t="s">
        <v>906</v>
      </c>
      <c r="C29" s="385">
        <v>93.85</v>
      </c>
      <c r="D29" s="385">
        <v>18.39</v>
      </c>
      <c r="E29" s="387">
        <v>75.459999999999994</v>
      </c>
      <c r="F29" s="385">
        <f>ROUND((T6_FG_py_Utlsn!E28+'T6A_FG_Upy_Utlsn '!E28),2)</f>
        <v>2793.68</v>
      </c>
      <c r="G29" s="385">
        <f t="shared" si="0"/>
        <v>83.81</v>
      </c>
      <c r="H29" s="387">
        <v>2793.68</v>
      </c>
      <c r="I29" s="387">
        <v>83.81</v>
      </c>
      <c r="J29" s="255">
        <v>0</v>
      </c>
      <c r="K29" s="385">
        <f t="shared" si="1"/>
        <v>10.039999999999992</v>
      </c>
      <c r="L29" s="136"/>
      <c r="M29" s="136"/>
      <c r="O29" s="800"/>
    </row>
    <row r="30" spans="1:15" s="137" customFormat="1" x14ac:dyDescent="0.2">
      <c r="A30" s="139">
        <v>18</v>
      </c>
      <c r="B30" s="361" t="s">
        <v>907</v>
      </c>
      <c r="C30" s="385">
        <v>54.199999999999996</v>
      </c>
      <c r="D30" s="385">
        <v>10.62</v>
      </c>
      <c r="E30" s="387">
        <v>43.58</v>
      </c>
      <c r="F30" s="385">
        <f>ROUND((T6_FG_py_Utlsn!E29+'T6A_FG_Upy_Utlsn '!E29),2)</f>
        <v>1473.43</v>
      </c>
      <c r="G30" s="385">
        <f t="shared" si="0"/>
        <v>44.2</v>
      </c>
      <c r="H30" s="387">
        <v>1473.43</v>
      </c>
      <c r="I30" s="387">
        <v>44.2</v>
      </c>
      <c r="J30" s="255">
        <v>0</v>
      </c>
      <c r="K30" s="385">
        <f t="shared" si="1"/>
        <v>9.9999999999999929</v>
      </c>
      <c r="L30" s="136"/>
      <c r="M30" s="136"/>
      <c r="O30" s="800"/>
    </row>
    <row r="31" spans="1:15" ht="15.75" customHeight="1" x14ac:dyDescent="0.2">
      <c r="A31" s="139">
        <v>19</v>
      </c>
      <c r="B31" s="361" t="s">
        <v>908</v>
      </c>
      <c r="C31" s="385">
        <v>104.07000000000001</v>
      </c>
      <c r="D31" s="385">
        <v>20.39</v>
      </c>
      <c r="E31" s="385">
        <v>83.68</v>
      </c>
      <c r="F31" s="385">
        <f>ROUND((T6_FG_py_Utlsn!E30+'T6A_FG_Upy_Utlsn '!E30),2)</f>
        <v>3001.39</v>
      </c>
      <c r="G31" s="385">
        <f t="shared" si="0"/>
        <v>90.04</v>
      </c>
      <c r="H31" s="388">
        <v>3001.39</v>
      </c>
      <c r="I31" s="388">
        <v>90.04</v>
      </c>
      <c r="J31" s="255">
        <v>0</v>
      </c>
      <c r="K31" s="385">
        <f t="shared" si="1"/>
        <v>14.030000000000001</v>
      </c>
      <c r="L31" s="135"/>
      <c r="M31" s="135"/>
      <c r="O31" s="800"/>
    </row>
    <row r="32" spans="1:15" ht="15.75" customHeight="1" x14ac:dyDescent="0.2">
      <c r="A32" s="139">
        <v>20</v>
      </c>
      <c r="B32" s="361" t="s">
        <v>909</v>
      </c>
      <c r="C32" s="385">
        <v>79.44</v>
      </c>
      <c r="D32" s="385">
        <v>15.57</v>
      </c>
      <c r="E32" s="385">
        <v>63.87</v>
      </c>
      <c r="F32" s="385">
        <f>ROUND((T6_FG_py_Utlsn!E31+'T6A_FG_Upy_Utlsn '!E31),2)</f>
        <v>2255.19</v>
      </c>
      <c r="G32" s="385">
        <f t="shared" si="0"/>
        <v>67.66</v>
      </c>
      <c r="H32" s="388">
        <v>2255.19</v>
      </c>
      <c r="I32" s="388">
        <v>67.66</v>
      </c>
      <c r="J32" s="255">
        <v>0</v>
      </c>
      <c r="K32" s="385">
        <f t="shared" si="1"/>
        <v>11.780000000000001</v>
      </c>
      <c r="L32" s="135"/>
      <c r="M32" s="135"/>
      <c r="O32" s="800"/>
    </row>
    <row r="33" spans="1:15" ht="15.75" customHeight="1" x14ac:dyDescent="0.2">
      <c r="A33" s="139">
        <v>21</v>
      </c>
      <c r="B33" s="361" t="s">
        <v>910</v>
      </c>
      <c r="C33" s="385">
        <v>16.579999999999998</v>
      </c>
      <c r="D33" s="385">
        <v>3.25</v>
      </c>
      <c r="E33" s="385">
        <v>13.33</v>
      </c>
      <c r="F33" s="385">
        <f>ROUND((T6_FG_py_Utlsn!E32+'T6A_FG_Upy_Utlsn '!E32),2)</f>
        <v>513.75</v>
      </c>
      <c r="G33" s="385">
        <f t="shared" si="0"/>
        <v>15.41</v>
      </c>
      <c r="H33" s="388">
        <v>513.75</v>
      </c>
      <c r="I33" s="388">
        <v>15.41</v>
      </c>
      <c r="J33" s="255">
        <v>0</v>
      </c>
      <c r="K33" s="385">
        <f t="shared" si="1"/>
        <v>1.1699999999999982</v>
      </c>
      <c r="L33" s="135"/>
      <c r="M33" s="135"/>
      <c r="O33" s="800"/>
    </row>
    <row r="34" spans="1:15" ht="15.75" customHeight="1" x14ac:dyDescent="0.2">
      <c r="A34" s="139">
        <v>22</v>
      </c>
      <c r="B34" s="361" t="s">
        <v>911</v>
      </c>
      <c r="C34" s="385">
        <v>109.04</v>
      </c>
      <c r="D34" s="385">
        <v>21.37</v>
      </c>
      <c r="E34" s="385">
        <v>87.67</v>
      </c>
      <c r="F34" s="385">
        <f>ROUND((T6_FG_py_Utlsn!E33+'T6A_FG_Upy_Utlsn '!E33),2)</f>
        <v>3108.28</v>
      </c>
      <c r="G34" s="385">
        <f t="shared" si="0"/>
        <v>93.25</v>
      </c>
      <c r="H34" s="388">
        <v>3108.28</v>
      </c>
      <c r="I34" s="388">
        <v>93.25</v>
      </c>
      <c r="J34" s="255">
        <v>0</v>
      </c>
      <c r="K34" s="385">
        <f t="shared" si="1"/>
        <v>15.790000000000006</v>
      </c>
      <c r="L34" s="135"/>
      <c r="M34" s="135"/>
      <c r="O34" s="800"/>
    </row>
    <row r="35" spans="1:15" ht="15.75" customHeight="1" x14ac:dyDescent="0.2">
      <c r="A35" s="139">
        <v>23</v>
      </c>
      <c r="B35" s="361" t="s">
        <v>912</v>
      </c>
      <c r="C35" s="385">
        <v>133.27000000000001</v>
      </c>
      <c r="D35" s="385">
        <v>26.12</v>
      </c>
      <c r="E35" s="385">
        <v>107.15</v>
      </c>
      <c r="F35" s="385">
        <f>ROUND((T6_FG_py_Utlsn!E34+'T6A_FG_Upy_Utlsn '!E34),2)</f>
        <v>3913.41</v>
      </c>
      <c r="G35" s="385">
        <f t="shared" si="0"/>
        <v>117.4</v>
      </c>
      <c r="H35" s="388">
        <v>3913.41</v>
      </c>
      <c r="I35" s="388">
        <v>117.4</v>
      </c>
      <c r="J35" s="255">
        <v>0</v>
      </c>
      <c r="K35" s="385">
        <f t="shared" si="1"/>
        <v>15.870000000000005</v>
      </c>
      <c r="L35" s="135"/>
      <c r="M35" s="135"/>
      <c r="O35" s="800"/>
    </row>
    <row r="36" spans="1:15" ht="15.75" customHeight="1" x14ac:dyDescent="0.2">
      <c r="A36" s="139">
        <v>24</v>
      </c>
      <c r="B36" s="361" t="s">
        <v>913</v>
      </c>
      <c r="C36" s="385">
        <v>140.12</v>
      </c>
      <c r="D36" s="385">
        <v>27.46</v>
      </c>
      <c r="E36" s="385">
        <v>112.66</v>
      </c>
      <c r="F36" s="385">
        <f>ROUND((T6_FG_py_Utlsn!E35+'T6A_FG_Upy_Utlsn '!E35),2)</f>
        <v>4335.74</v>
      </c>
      <c r="G36" s="385">
        <f t="shared" si="0"/>
        <v>130.07</v>
      </c>
      <c r="H36" s="388">
        <v>4335.74</v>
      </c>
      <c r="I36" s="388">
        <v>130.07</v>
      </c>
      <c r="J36" s="255">
        <v>0</v>
      </c>
      <c r="K36" s="385">
        <f t="shared" si="1"/>
        <v>10.050000000000011</v>
      </c>
      <c r="L36" s="135"/>
      <c r="M36" s="135"/>
      <c r="O36" s="800"/>
    </row>
    <row r="37" spans="1:15" ht="15.75" customHeight="1" x14ac:dyDescent="0.2">
      <c r="A37" s="139">
        <v>25</v>
      </c>
      <c r="B37" s="361" t="s">
        <v>919</v>
      </c>
      <c r="C37" s="385">
        <v>71.08</v>
      </c>
      <c r="D37" s="385">
        <v>13.93</v>
      </c>
      <c r="E37" s="385">
        <v>57.15</v>
      </c>
      <c r="F37" s="385">
        <f>ROUND((T6_FG_py_Utlsn!E36+'T6A_FG_Upy_Utlsn '!E36),2)</f>
        <v>2053.38</v>
      </c>
      <c r="G37" s="385">
        <f t="shared" si="0"/>
        <v>61.6</v>
      </c>
      <c r="H37" s="388">
        <v>2053.38</v>
      </c>
      <c r="I37" s="388">
        <v>61.6</v>
      </c>
      <c r="J37" s="255">
        <v>0</v>
      </c>
      <c r="K37" s="385">
        <f t="shared" si="1"/>
        <v>9.4799999999999969</v>
      </c>
      <c r="L37" s="135"/>
      <c r="M37" s="135"/>
      <c r="O37" s="800"/>
    </row>
    <row r="38" spans="1:15" ht="15.75" customHeight="1" x14ac:dyDescent="0.2">
      <c r="A38" s="139">
        <v>26</v>
      </c>
      <c r="B38" s="361" t="s">
        <v>914</v>
      </c>
      <c r="C38" s="385">
        <v>24.64</v>
      </c>
      <c r="D38" s="385">
        <v>4.83</v>
      </c>
      <c r="E38" s="385">
        <v>19.809999999999999</v>
      </c>
      <c r="F38" s="385">
        <f>ROUND((T6_FG_py_Utlsn!E37+'T6A_FG_Upy_Utlsn '!E37),2)</f>
        <v>818.33</v>
      </c>
      <c r="G38" s="385">
        <f t="shared" si="0"/>
        <v>24.55</v>
      </c>
      <c r="H38" s="388">
        <v>818.33</v>
      </c>
      <c r="I38" s="388">
        <v>24.55</v>
      </c>
      <c r="J38" s="255">
        <v>0</v>
      </c>
      <c r="K38" s="385">
        <f t="shared" si="1"/>
        <v>8.9999999999999858E-2</v>
      </c>
      <c r="L38" s="135"/>
      <c r="M38" s="135"/>
      <c r="O38" s="800"/>
    </row>
    <row r="39" spans="1:15" ht="15" x14ac:dyDescent="0.2">
      <c r="A39" s="139">
        <v>27</v>
      </c>
      <c r="B39" s="362" t="s">
        <v>915</v>
      </c>
      <c r="C39" s="385">
        <v>75.240000000000009</v>
      </c>
      <c r="D39" s="385">
        <v>14.72</v>
      </c>
      <c r="E39" s="385">
        <v>60.52</v>
      </c>
      <c r="F39" s="385">
        <f>ROUND((T6_FG_py_Utlsn!E38+'T6A_FG_Upy_Utlsn '!E38),2)</f>
        <v>2161.14</v>
      </c>
      <c r="G39" s="385">
        <f t="shared" si="0"/>
        <v>64.83</v>
      </c>
      <c r="H39" s="385">
        <v>2161.14</v>
      </c>
      <c r="I39" s="385">
        <v>64.83</v>
      </c>
      <c r="J39" s="255">
        <v>0</v>
      </c>
      <c r="K39" s="385">
        <f t="shared" si="1"/>
        <v>10.410000000000011</v>
      </c>
      <c r="L39" s="135"/>
      <c r="M39" s="135"/>
      <c r="O39" s="800"/>
    </row>
    <row r="40" spans="1:15" x14ac:dyDescent="0.2">
      <c r="A40" s="138" t="s">
        <v>88</v>
      </c>
      <c r="B40" s="135"/>
      <c r="C40" s="386">
        <f t="shared" ref="C40:K40" si="2">SUM(C13:C39)</f>
        <v>2263.6299999999992</v>
      </c>
      <c r="D40" s="386">
        <f t="shared" si="2"/>
        <v>443.58</v>
      </c>
      <c r="E40" s="386">
        <f t="shared" si="2"/>
        <v>1820.05</v>
      </c>
      <c r="F40" s="386">
        <f t="shared" si="2"/>
        <v>65800.06</v>
      </c>
      <c r="G40" s="386">
        <f t="shared" si="2"/>
        <v>1973.9899999999998</v>
      </c>
      <c r="H40" s="386">
        <f t="shared" si="2"/>
        <v>65800.06</v>
      </c>
      <c r="I40" s="386">
        <f t="shared" si="2"/>
        <v>1973.9899999999998</v>
      </c>
      <c r="J40" s="386">
        <f t="shared" si="2"/>
        <v>0</v>
      </c>
      <c r="K40" s="386">
        <f t="shared" si="2"/>
        <v>289.64</v>
      </c>
      <c r="L40" s="135"/>
      <c r="M40" s="135"/>
    </row>
    <row r="43" spans="1:15" ht="15.75" customHeight="1" x14ac:dyDescent="0.2"/>
    <row r="44" spans="1:15" ht="15.75" customHeight="1" x14ac:dyDescent="0.2">
      <c r="A44" s="563"/>
      <c r="B44" s="563"/>
      <c r="C44" s="563"/>
      <c r="D44" s="563"/>
      <c r="E44" s="563"/>
      <c r="F44" s="563"/>
      <c r="G44" s="563"/>
      <c r="H44" s="810" t="s">
        <v>13</v>
      </c>
      <c r="I44" s="810"/>
      <c r="J44" s="810"/>
      <c r="K44" s="810"/>
      <c r="L44" s="810"/>
      <c r="M44" s="563"/>
    </row>
    <row r="45" spans="1:15" ht="15.75" customHeight="1" x14ac:dyDescent="0.2">
      <c r="A45" s="563"/>
      <c r="B45" s="563"/>
      <c r="C45" s="563"/>
      <c r="D45" s="563"/>
      <c r="E45" s="563"/>
      <c r="F45" s="563"/>
      <c r="G45" s="563"/>
      <c r="H45" s="810" t="s">
        <v>14</v>
      </c>
      <c r="I45" s="810"/>
      <c r="J45" s="810"/>
      <c r="K45" s="810"/>
      <c r="L45" s="810"/>
      <c r="M45" s="563"/>
    </row>
    <row r="46" spans="1:15" ht="12.75" customHeight="1" x14ac:dyDescent="0.2">
      <c r="A46" s="563"/>
      <c r="B46" s="563"/>
      <c r="C46" s="563"/>
      <c r="D46" s="563"/>
      <c r="E46" s="563"/>
      <c r="F46" s="563"/>
      <c r="G46" s="563"/>
      <c r="H46" s="810" t="s">
        <v>918</v>
      </c>
      <c r="I46" s="810"/>
      <c r="J46" s="810"/>
      <c r="K46" s="810"/>
      <c r="L46" s="810"/>
      <c r="M46" s="563"/>
    </row>
    <row r="47" spans="1:15" ht="15" x14ac:dyDescent="0.25">
      <c r="A47" s="492" t="s">
        <v>12</v>
      </c>
      <c r="B47" s="14"/>
      <c r="C47" s="14"/>
      <c r="D47" s="14"/>
      <c r="E47" s="14"/>
      <c r="F47" s="14"/>
      <c r="G47" s="569"/>
      <c r="H47" s="207" t="s">
        <v>82</v>
      </c>
      <c r="I47" s="207"/>
      <c r="J47" s="207"/>
      <c r="K47" s="207"/>
      <c r="L47" s="207"/>
      <c r="M47" s="36"/>
    </row>
    <row r="48" spans="1:15" x14ac:dyDescent="0.2">
      <c r="A48" s="14"/>
      <c r="B48" s="15"/>
      <c r="C48" s="15"/>
      <c r="D48" s="15"/>
      <c r="E48" s="15"/>
      <c r="F48" s="15"/>
      <c r="G48" s="15"/>
      <c r="H48" s="15"/>
      <c r="I48" s="15"/>
      <c r="J48" s="256"/>
      <c r="K48" s="15"/>
      <c r="L48" s="15"/>
      <c r="M48" s="15"/>
    </row>
  </sheetData>
  <mergeCells count="19">
    <mergeCell ref="H44:L44"/>
    <mergeCell ref="H45:L45"/>
    <mergeCell ref="H46:L46"/>
    <mergeCell ref="A9:A11"/>
    <mergeCell ref="M9:M11"/>
    <mergeCell ref="L9:L11"/>
    <mergeCell ref="B9:B1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S49"/>
  <sheetViews>
    <sheetView topLeftCell="A16" zoomScaleSheetLayoutView="90" workbookViewId="0">
      <selection activeCell="I8" sqref="I8:L8"/>
    </sheetView>
  </sheetViews>
  <sheetFormatPr defaultRowHeight="12.75" x14ac:dyDescent="0.2"/>
  <cols>
    <col min="1" max="1" width="5.5703125" style="15" customWidth="1"/>
    <col min="2" max="2" width="14.42578125" style="15" customWidth="1"/>
    <col min="3" max="3" width="10.5703125" style="15" customWidth="1"/>
    <col min="4" max="4" width="11.2851562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6"/>
      <c r="E1" s="36"/>
      <c r="F1" s="36"/>
      <c r="G1" s="36"/>
      <c r="H1" s="36"/>
      <c r="I1" s="36"/>
      <c r="J1" s="36"/>
      <c r="K1" s="36"/>
      <c r="L1" s="942" t="s">
        <v>431</v>
      </c>
      <c r="M1" s="942"/>
      <c r="N1" s="942"/>
      <c r="O1" s="43"/>
      <c r="P1" s="43"/>
    </row>
    <row r="2" spans="1:19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5"/>
      <c r="N2" s="45"/>
      <c r="O2" s="45"/>
      <c r="P2" s="45"/>
    </row>
    <row r="3" spans="1:19" customFormat="1" ht="20.25" x14ac:dyDescent="0.3">
      <c r="A3" s="944" t="s">
        <v>738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44"/>
      <c r="N3" s="44"/>
      <c r="O3" s="44"/>
      <c r="P3" s="44"/>
    </row>
    <row r="4" spans="1:19" customFormat="1" ht="10.5" customHeight="1" x14ac:dyDescent="0.2"/>
    <row r="5" spans="1:19" ht="19.5" customHeight="1" x14ac:dyDescent="0.25">
      <c r="A5" s="933" t="s">
        <v>806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ht="15" x14ac:dyDescent="0.3">
      <c r="A7" s="197" t="s">
        <v>917</v>
      </c>
      <c r="B7" s="197" t="s">
        <v>916</v>
      </c>
      <c r="F7" s="943" t="s">
        <v>19</v>
      </c>
      <c r="G7" s="943"/>
      <c r="H7" s="943"/>
      <c r="I7" s="943"/>
      <c r="J7" s="943"/>
      <c r="K7" s="943"/>
      <c r="L7" s="943"/>
    </row>
    <row r="8" spans="1:19" x14ac:dyDescent="0.2">
      <c r="A8" s="14"/>
      <c r="F8" s="16"/>
      <c r="G8" s="98"/>
      <c r="H8" s="98"/>
      <c r="I8" s="925" t="s">
        <v>1186</v>
      </c>
      <c r="J8" s="925"/>
      <c r="K8" s="925"/>
      <c r="L8" s="925"/>
    </row>
    <row r="9" spans="1:19" s="14" customFormat="1" x14ac:dyDescent="0.2">
      <c r="A9" s="824" t="s">
        <v>2</v>
      </c>
      <c r="B9" s="824" t="s">
        <v>3</v>
      </c>
      <c r="C9" s="828" t="s">
        <v>23</v>
      </c>
      <c r="D9" s="829"/>
      <c r="E9" s="829"/>
      <c r="F9" s="829"/>
      <c r="G9" s="829"/>
      <c r="H9" s="828" t="s">
        <v>24</v>
      </c>
      <c r="I9" s="829"/>
      <c r="J9" s="829"/>
      <c r="K9" s="829"/>
      <c r="L9" s="829"/>
      <c r="R9" s="30"/>
      <c r="S9" s="31"/>
    </row>
    <row r="10" spans="1:19" s="14" customFormat="1" ht="63.75" x14ac:dyDescent="0.2">
      <c r="A10" s="824"/>
      <c r="B10" s="824"/>
      <c r="C10" s="5" t="s">
        <v>842</v>
      </c>
      <c r="D10" s="5" t="s">
        <v>820</v>
      </c>
      <c r="E10" s="5" t="s">
        <v>68</v>
      </c>
      <c r="F10" s="5" t="s">
        <v>69</v>
      </c>
      <c r="G10" s="5" t="s">
        <v>365</v>
      </c>
      <c r="H10" s="5" t="s">
        <v>842</v>
      </c>
      <c r="I10" s="5" t="s">
        <v>820</v>
      </c>
      <c r="J10" s="5" t="s">
        <v>68</v>
      </c>
      <c r="K10" s="5" t="s">
        <v>69</v>
      </c>
      <c r="L10" s="5" t="s">
        <v>366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s="14" customFormat="1" x14ac:dyDescent="0.2">
      <c r="A12" s="18">
        <v>1</v>
      </c>
      <c r="B12" s="361" t="s">
        <v>890</v>
      </c>
      <c r="C12" s="5"/>
      <c r="D12" s="5"/>
      <c r="E12" s="5"/>
      <c r="F12" s="5"/>
      <c r="G12" s="5"/>
      <c r="H12" s="7"/>
      <c r="I12" s="7"/>
      <c r="J12" s="7"/>
      <c r="K12" s="7"/>
      <c r="L12" s="5"/>
    </row>
    <row r="13" spans="1:19" s="14" customFormat="1" x14ac:dyDescent="0.2">
      <c r="A13" s="18">
        <v>2</v>
      </c>
      <c r="B13" s="361" t="s">
        <v>891</v>
      </c>
      <c r="C13" s="5"/>
      <c r="D13" s="5"/>
      <c r="E13" s="5"/>
      <c r="F13" s="5"/>
      <c r="G13" s="5"/>
      <c r="H13" s="7"/>
      <c r="I13" s="7"/>
      <c r="J13" s="7"/>
      <c r="K13" s="7"/>
      <c r="L13" s="5"/>
    </row>
    <row r="14" spans="1:19" s="14" customFormat="1" x14ac:dyDescent="0.2">
      <c r="A14" s="18">
        <v>3</v>
      </c>
      <c r="B14" s="361" t="s">
        <v>892</v>
      </c>
      <c r="C14" s="5"/>
      <c r="D14" s="5"/>
      <c r="E14" s="5"/>
      <c r="F14" s="5"/>
      <c r="G14" s="5"/>
      <c r="H14" s="7"/>
      <c r="I14" s="7"/>
      <c r="J14" s="7"/>
      <c r="K14" s="7"/>
      <c r="L14" s="5"/>
    </row>
    <row r="15" spans="1:19" s="14" customFormat="1" x14ac:dyDescent="0.2">
      <c r="A15" s="18">
        <v>4</v>
      </c>
      <c r="B15" s="361" t="s">
        <v>893</v>
      </c>
      <c r="C15" s="5"/>
      <c r="D15" s="5"/>
      <c r="E15" s="5"/>
      <c r="F15" s="5"/>
      <c r="G15" s="5"/>
      <c r="H15" s="7"/>
      <c r="I15" s="7"/>
      <c r="J15" s="7"/>
      <c r="K15" s="7"/>
      <c r="L15" s="5"/>
    </row>
    <row r="16" spans="1:19" s="14" customFormat="1" x14ac:dyDescent="0.2">
      <c r="A16" s="18">
        <v>5</v>
      </c>
      <c r="B16" s="361" t="s">
        <v>894</v>
      </c>
      <c r="C16" s="5"/>
      <c r="D16" s="5"/>
      <c r="E16" s="5"/>
      <c r="F16" s="5"/>
      <c r="G16" s="5"/>
      <c r="H16" s="7"/>
      <c r="I16" s="7"/>
      <c r="J16" s="7"/>
      <c r="K16" s="7"/>
      <c r="L16" s="5"/>
    </row>
    <row r="17" spans="1:12" s="14" customFormat="1" x14ac:dyDescent="0.2">
      <c r="A17" s="18">
        <v>6</v>
      </c>
      <c r="B17" s="361" t="s">
        <v>895</v>
      </c>
      <c r="C17" s="5"/>
      <c r="D17" s="5"/>
      <c r="E17" s="5"/>
      <c r="F17" s="5"/>
      <c r="G17" s="5"/>
      <c r="H17" s="7"/>
      <c r="I17" s="7"/>
      <c r="J17" s="7"/>
      <c r="K17" s="7"/>
      <c r="L17" s="5"/>
    </row>
    <row r="18" spans="1:12" s="14" customFormat="1" x14ac:dyDescent="0.2">
      <c r="A18" s="18">
        <v>7</v>
      </c>
      <c r="B18" s="361" t="s">
        <v>896</v>
      </c>
      <c r="C18" s="5"/>
      <c r="D18" s="5"/>
      <c r="E18" s="5"/>
      <c r="F18" s="5"/>
      <c r="G18" s="5"/>
      <c r="H18" s="7"/>
      <c r="I18" s="7"/>
      <c r="J18" s="7"/>
      <c r="K18" s="7"/>
      <c r="L18" s="5"/>
    </row>
    <row r="19" spans="1:12" s="14" customFormat="1" x14ac:dyDescent="0.2">
      <c r="A19" s="18">
        <v>8</v>
      </c>
      <c r="B19" s="361" t="s">
        <v>897</v>
      </c>
      <c r="C19" s="5"/>
      <c r="D19" s="5"/>
      <c r="E19" s="5"/>
      <c r="F19" s="5"/>
      <c r="G19" s="5"/>
      <c r="H19" s="7"/>
      <c r="I19" s="7"/>
      <c r="J19" s="7"/>
      <c r="K19" s="7"/>
      <c r="L19" s="5"/>
    </row>
    <row r="20" spans="1:12" s="14" customFormat="1" x14ac:dyDescent="0.2">
      <c r="A20" s="18">
        <v>9</v>
      </c>
      <c r="B20" s="361" t="s">
        <v>898</v>
      </c>
      <c r="C20" s="5"/>
      <c r="D20" s="5"/>
      <c r="E20" s="5"/>
      <c r="F20" s="5"/>
      <c r="G20" s="5"/>
      <c r="H20" s="7"/>
      <c r="I20" s="7"/>
      <c r="J20" s="7"/>
      <c r="K20" s="7"/>
      <c r="L20" s="5"/>
    </row>
    <row r="21" spans="1:12" s="14" customFormat="1" x14ac:dyDescent="0.2">
      <c r="A21" s="18">
        <v>10</v>
      </c>
      <c r="B21" s="361" t="s">
        <v>899</v>
      </c>
      <c r="C21" s="5"/>
      <c r="D21" s="5"/>
      <c r="E21" s="5"/>
      <c r="F21" s="5"/>
      <c r="G21" s="5"/>
      <c r="H21" s="7"/>
      <c r="I21" s="7"/>
      <c r="J21" s="7"/>
      <c r="K21" s="7"/>
      <c r="L21" s="5"/>
    </row>
    <row r="22" spans="1:12" s="14" customFormat="1" x14ac:dyDescent="0.2">
      <c r="A22" s="18">
        <v>11</v>
      </c>
      <c r="B22" s="361" t="s">
        <v>900</v>
      </c>
      <c r="C22" s="5"/>
      <c r="D22" s="5"/>
      <c r="E22" s="5"/>
      <c r="F22" s="5"/>
      <c r="G22" s="5"/>
      <c r="H22" s="7"/>
      <c r="I22" s="7"/>
      <c r="J22" s="7"/>
      <c r="K22" s="7"/>
      <c r="L22" s="5"/>
    </row>
    <row r="23" spans="1:12" x14ac:dyDescent="0.2">
      <c r="A23" s="18">
        <v>12</v>
      </c>
      <c r="B23" s="361" t="s">
        <v>901</v>
      </c>
      <c r="C23" s="19"/>
      <c r="D23" s="19"/>
      <c r="E23" s="19"/>
      <c r="F23" s="19"/>
      <c r="G23" s="19"/>
      <c r="H23" s="28"/>
      <c r="I23" s="28"/>
      <c r="J23" s="28"/>
      <c r="K23" s="28"/>
      <c r="L23" s="19"/>
    </row>
    <row r="24" spans="1:12" x14ac:dyDescent="0.2">
      <c r="A24" s="18">
        <v>13</v>
      </c>
      <c r="B24" s="361" t="s">
        <v>902</v>
      </c>
      <c r="C24" s="19"/>
      <c r="D24" s="19"/>
      <c r="E24" s="19"/>
      <c r="F24" s="19"/>
      <c r="G24" s="19"/>
      <c r="H24" s="28"/>
      <c r="I24" s="28"/>
      <c r="J24" s="28"/>
      <c r="K24" s="28"/>
      <c r="L24" s="19"/>
    </row>
    <row r="25" spans="1:12" x14ac:dyDescent="0.2">
      <c r="A25" s="18">
        <v>14</v>
      </c>
      <c r="B25" s="361" t="s">
        <v>903</v>
      </c>
      <c r="C25" s="19"/>
      <c r="D25" s="19"/>
      <c r="E25" s="19"/>
      <c r="F25" s="19"/>
      <c r="G25" s="19"/>
      <c r="H25" s="28"/>
      <c r="I25" s="28"/>
      <c r="J25" s="28"/>
      <c r="K25" s="28"/>
      <c r="L25" s="19"/>
    </row>
    <row r="26" spans="1:12" x14ac:dyDescent="0.2">
      <c r="A26" s="18">
        <v>15</v>
      </c>
      <c r="B26" s="361" t="s">
        <v>904</v>
      </c>
      <c r="C26" s="19"/>
      <c r="D26" s="19"/>
      <c r="E26" s="19"/>
      <c r="F26" s="19"/>
      <c r="G26" s="19"/>
      <c r="H26" s="28"/>
      <c r="I26" s="28"/>
      <c r="J26" s="28"/>
      <c r="K26" s="28"/>
      <c r="L26" s="19"/>
    </row>
    <row r="27" spans="1:12" x14ac:dyDescent="0.2">
      <c r="A27" s="18">
        <v>16</v>
      </c>
      <c r="B27" s="361" t="s">
        <v>905</v>
      </c>
      <c r="C27" s="19"/>
      <c r="D27" s="19"/>
      <c r="E27" s="19"/>
      <c r="F27" s="19"/>
      <c r="G27" s="19"/>
      <c r="H27" s="28"/>
      <c r="I27" s="28"/>
      <c r="J27" s="28"/>
      <c r="K27" s="28"/>
      <c r="L27" s="19"/>
    </row>
    <row r="28" spans="1:12" x14ac:dyDescent="0.2">
      <c r="A28" s="18">
        <v>17</v>
      </c>
      <c r="B28" s="361" t="s">
        <v>906</v>
      </c>
      <c r="C28" s="19"/>
      <c r="D28" s="19"/>
      <c r="E28" s="19"/>
      <c r="F28" s="19"/>
      <c r="G28" s="19"/>
      <c r="H28" s="28"/>
      <c r="I28" s="28"/>
      <c r="J28" s="28"/>
      <c r="K28" s="28"/>
      <c r="L28" s="19"/>
    </row>
    <row r="29" spans="1:12" x14ac:dyDescent="0.2">
      <c r="A29" s="18">
        <v>18</v>
      </c>
      <c r="B29" s="361" t="s">
        <v>907</v>
      </c>
      <c r="C29" s="19"/>
      <c r="D29" s="19"/>
      <c r="E29" s="19"/>
      <c r="F29" s="19"/>
      <c r="G29" s="19"/>
      <c r="H29" s="28"/>
      <c r="I29" s="28"/>
      <c r="J29" s="28"/>
      <c r="K29" s="28"/>
      <c r="L29" s="19"/>
    </row>
    <row r="30" spans="1:12" x14ac:dyDescent="0.2">
      <c r="A30" s="18">
        <v>19</v>
      </c>
      <c r="B30" s="361" t="s">
        <v>908</v>
      </c>
      <c r="C30" s="19"/>
      <c r="D30" s="19"/>
      <c r="E30" s="19"/>
      <c r="F30" s="19"/>
      <c r="G30" s="19"/>
      <c r="H30" s="28"/>
      <c r="I30" s="28"/>
      <c r="J30" s="28"/>
      <c r="K30" s="28"/>
      <c r="L30" s="19"/>
    </row>
    <row r="31" spans="1:12" x14ac:dyDescent="0.2">
      <c r="A31" s="18">
        <v>20</v>
      </c>
      <c r="B31" s="361" t="s">
        <v>909</v>
      </c>
      <c r="C31" s="19"/>
      <c r="D31" s="19"/>
      <c r="E31" s="19"/>
      <c r="F31" s="19"/>
      <c r="G31" s="19"/>
      <c r="H31" s="28"/>
      <c r="I31" s="28"/>
      <c r="J31" s="28"/>
      <c r="K31" s="28"/>
      <c r="L31" s="19"/>
    </row>
    <row r="32" spans="1:12" x14ac:dyDescent="0.2">
      <c r="A32" s="18">
        <v>21</v>
      </c>
      <c r="B32" s="361" t="s">
        <v>910</v>
      </c>
      <c r="C32" s="19"/>
      <c r="D32" s="19"/>
      <c r="E32" s="19"/>
      <c r="F32" s="19"/>
      <c r="G32" s="19"/>
      <c r="H32" s="28"/>
      <c r="I32" s="28"/>
      <c r="J32" s="28"/>
      <c r="K32" s="28"/>
      <c r="L32" s="19"/>
    </row>
    <row r="33" spans="1:13" x14ac:dyDescent="0.2">
      <c r="A33" s="18">
        <v>22</v>
      </c>
      <c r="B33" s="361" t="s">
        <v>911</v>
      </c>
      <c r="C33" s="19"/>
      <c r="D33" s="19"/>
      <c r="E33" s="19"/>
      <c r="F33" s="19"/>
      <c r="G33" s="19"/>
      <c r="H33" s="28"/>
      <c r="I33" s="28"/>
      <c r="J33" s="28"/>
      <c r="K33" s="28"/>
      <c r="L33" s="19"/>
    </row>
    <row r="34" spans="1:13" x14ac:dyDescent="0.2">
      <c r="A34" s="18">
        <v>23</v>
      </c>
      <c r="B34" s="361" t="s">
        <v>912</v>
      </c>
      <c r="C34" s="19"/>
      <c r="D34" s="19"/>
      <c r="E34" s="19"/>
      <c r="F34" s="19"/>
      <c r="G34" s="19"/>
      <c r="H34" s="28"/>
      <c r="I34" s="28"/>
      <c r="J34" s="28"/>
      <c r="K34" s="28"/>
      <c r="L34" s="19"/>
    </row>
    <row r="35" spans="1:13" x14ac:dyDescent="0.2">
      <c r="A35" s="18">
        <v>24</v>
      </c>
      <c r="B35" s="361" t="s">
        <v>913</v>
      </c>
      <c r="C35" s="19"/>
      <c r="D35" s="19"/>
      <c r="E35" s="19"/>
      <c r="F35" s="19"/>
      <c r="G35" s="19"/>
      <c r="H35" s="28"/>
      <c r="I35" s="28"/>
      <c r="J35" s="28"/>
      <c r="K35" s="28"/>
      <c r="L35" s="19"/>
    </row>
    <row r="36" spans="1:13" x14ac:dyDescent="0.2">
      <c r="A36" s="18">
        <v>25</v>
      </c>
      <c r="B36" s="361" t="s">
        <v>919</v>
      </c>
      <c r="C36" s="19"/>
      <c r="D36" s="19"/>
      <c r="E36" s="19"/>
      <c r="F36" s="19"/>
      <c r="G36" s="19"/>
      <c r="H36" s="28"/>
      <c r="I36" s="28"/>
      <c r="J36" s="28"/>
      <c r="K36" s="28"/>
      <c r="L36" s="19"/>
    </row>
    <row r="37" spans="1:13" x14ac:dyDescent="0.2">
      <c r="A37" s="18">
        <v>26</v>
      </c>
      <c r="B37" s="361" t="s">
        <v>914</v>
      </c>
      <c r="C37" s="19"/>
      <c r="D37" s="19"/>
      <c r="E37" s="19"/>
      <c r="F37" s="19"/>
      <c r="G37" s="19"/>
      <c r="H37" s="28"/>
      <c r="I37" s="28"/>
      <c r="J37" s="28"/>
      <c r="K37" s="28"/>
      <c r="L37" s="19"/>
    </row>
    <row r="38" spans="1:13" ht="15" x14ac:dyDescent="0.2">
      <c r="A38" s="18">
        <v>27</v>
      </c>
      <c r="B38" s="362" t="s">
        <v>915</v>
      </c>
      <c r="C38" s="19"/>
      <c r="D38" s="19"/>
      <c r="E38" s="19"/>
      <c r="F38" s="19"/>
      <c r="G38" s="19"/>
      <c r="H38" s="28"/>
      <c r="I38" s="28"/>
      <c r="J38" s="28"/>
      <c r="K38" s="28"/>
      <c r="L38" s="19"/>
    </row>
    <row r="39" spans="1:13" x14ac:dyDescent="0.2">
      <c r="A39" s="3" t="s">
        <v>18</v>
      </c>
      <c r="B39" s="19"/>
      <c r="C39" s="19"/>
      <c r="D39" s="19"/>
      <c r="E39" s="19"/>
      <c r="F39" s="19"/>
      <c r="G39" s="19"/>
      <c r="H39" s="28"/>
      <c r="I39" s="28"/>
      <c r="J39" s="28"/>
      <c r="K39" s="28"/>
      <c r="L39" s="19"/>
    </row>
    <row r="40" spans="1:13" x14ac:dyDescent="0.2">
      <c r="A40" s="22" t="s">
        <v>364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3" x14ac:dyDescent="0.2">
      <c r="A41" s="21" t="s">
        <v>363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3" ht="15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3" ht="15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3" s="569" customFormat="1" ht="14.25" customHeight="1" x14ac:dyDescent="0.2">
      <c r="A44" s="563"/>
      <c r="B44" s="563"/>
      <c r="C44" s="563"/>
      <c r="D44" s="563"/>
      <c r="E44" s="563"/>
      <c r="F44" s="563"/>
      <c r="G44" s="563"/>
      <c r="H44" s="563"/>
      <c r="I44" s="563"/>
      <c r="J44" s="563"/>
      <c r="K44" s="563"/>
      <c r="L44" s="563"/>
    </row>
    <row r="45" spans="1:13" s="569" customFormat="1" x14ac:dyDescent="0.2">
      <c r="A45" s="563"/>
      <c r="B45" s="563"/>
      <c r="C45" s="563"/>
      <c r="D45" s="563"/>
      <c r="E45" s="563"/>
      <c r="F45" s="563"/>
      <c r="G45" s="563"/>
      <c r="H45" s="810" t="s">
        <v>13</v>
      </c>
      <c r="I45" s="810"/>
      <c r="J45" s="810"/>
      <c r="K45" s="810"/>
      <c r="L45" s="810"/>
    </row>
    <row r="46" spans="1:13" s="569" customFormat="1" x14ac:dyDescent="0.2">
      <c r="A46" s="563"/>
      <c r="B46" s="563"/>
      <c r="C46" s="563"/>
      <c r="D46" s="563"/>
      <c r="E46" s="563"/>
      <c r="F46" s="563"/>
      <c r="G46" s="563"/>
      <c r="H46" s="810" t="s">
        <v>14</v>
      </c>
      <c r="I46" s="810"/>
      <c r="J46" s="810"/>
      <c r="K46" s="810"/>
      <c r="L46" s="810"/>
    </row>
    <row r="47" spans="1:13" s="569" customFormat="1" x14ac:dyDescent="0.2">
      <c r="A47" s="14"/>
      <c r="B47" s="14"/>
      <c r="C47" s="14"/>
      <c r="D47" s="14"/>
      <c r="E47" s="14"/>
      <c r="F47" s="14"/>
      <c r="H47" s="810" t="s">
        <v>918</v>
      </c>
      <c r="I47" s="810"/>
      <c r="J47" s="810"/>
      <c r="K47" s="810"/>
      <c r="L47" s="810"/>
      <c r="M47" s="36"/>
    </row>
    <row r="48" spans="1:13" ht="15" x14ac:dyDescent="0.25">
      <c r="A48" s="492" t="s">
        <v>12</v>
      </c>
      <c r="H48" s="207" t="s">
        <v>82</v>
      </c>
      <c r="I48" s="207"/>
      <c r="J48" s="207"/>
      <c r="K48" s="207"/>
      <c r="L48" s="207"/>
    </row>
    <row r="49" spans="1:12" x14ac:dyDescent="0.2">
      <c r="A49" s="938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8"/>
    </row>
  </sheetData>
  <mergeCells count="14">
    <mergeCell ref="A49:L49"/>
    <mergeCell ref="I8:L8"/>
    <mergeCell ref="A9:A10"/>
    <mergeCell ref="B9:B10"/>
    <mergeCell ref="C9:G9"/>
    <mergeCell ref="H9:L9"/>
    <mergeCell ref="H45:L45"/>
    <mergeCell ref="H46:L46"/>
    <mergeCell ref="H47:L47"/>
    <mergeCell ref="L1:N1"/>
    <mergeCell ref="A2:L2"/>
    <mergeCell ref="A3:L3"/>
    <mergeCell ref="A5:L5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  <rowBreaks count="1" manualBreakCount="1">
    <brk id="4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V49"/>
  <sheetViews>
    <sheetView topLeftCell="A25" zoomScaleSheetLayoutView="90" workbookViewId="0">
      <selection activeCell="E48" sqref="E48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9.7109375" style="15" customWidth="1"/>
    <col min="4" max="4" width="8.7109375" style="15" customWidth="1"/>
    <col min="5" max="5" width="9.7109375" style="15" customWidth="1"/>
    <col min="6" max="7" width="7.28515625" style="15" customWidth="1"/>
    <col min="8" max="8" width="8.140625" style="15" customWidth="1"/>
    <col min="9" max="9" width="8.5703125" style="15" customWidth="1"/>
    <col min="10" max="10" width="8.28515625" style="15" customWidth="1"/>
    <col min="11" max="11" width="8.42578125" style="15" customWidth="1"/>
    <col min="12" max="12" width="8.7109375" style="15" customWidth="1"/>
    <col min="13" max="13" width="7.85546875" style="15" customWidth="1"/>
    <col min="14" max="14" width="9.140625" style="15" customWidth="1"/>
    <col min="15" max="15" width="12" style="15" customWidth="1"/>
    <col min="16" max="16" width="11.85546875" style="15" customWidth="1"/>
    <col min="17" max="17" width="11.7109375" style="15" customWidth="1"/>
    <col min="18" max="16384" width="9.140625" style="15"/>
  </cols>
  <sheetData>
    <row r="1" spans="1:21" customFormat="1" ht="15" x14ac:dyDescent="0.2">
      <c r="H1" s="36"/>
      <c r="I1" s="36"/>
      <c r="J1" s="36"/>
      <c r="K1" s="36"/>
      <c r="L1" s="36"/>
      <c r="M1" s="36"/>
      <c r="N1" s="36"/>
      <c r="O1" s="36"/>
      <c r="P1" s="926" t="s">
        <v>62</v>
      </c>
      <c r="Q1" s="926"/>
      <c r="S1" s="15"/>
      <c r="T1" s="43"/>
      <c r="U1" s="43"/>
    </row>
    <row r="2" spans="1:21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45"/>
      <c r="S2" s="45"/>
      <c r="T2" s="45"/>
      <c r="U2" s="45"/>
    </row>
    <row r="3" spans="1:21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44"/>
      <c r="S3" s="44"/>
      <c r="T3" s="44"/>
      <c r="U3" s="44"/>
    </row>
    <row r="4" spans="1:21" customFormat="1" ht="10.5" customHeight="1" x14ac:dyDescent="0.2"/>
    <row r="5" spans="1:21" x14ac:dyDescent="0.2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21" ht="18" customHeight="1" x14ac:dyDescent="0.25">
      <c r="A6" s="933" t="s">
        <v>807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</row>
    <row r="7" spans="1:21" ht="9.75" customHeight="1" x14ac:dyDescent="0.2"/>
    <row r="8" spans="1:21" ht="0.75" customHeight="1" x14ac:dyDescent="0.2"/>
    <row r="9" spans="1:21" ht="15" x14ac:dyDescent="0.3">
      <c r="A9" s="197" t="s">
        <v>917</v>
      </c>
      <c r="B9" s="197" t="s">
        <v>916</v>
      </c>
      <c r="Q9" s="33" t="s">
        <v>21</v>
      </c>
      <c r="R9" s="22"/>
      <c r="S9" s="22"/>
    </row>
    <row r="10" spans="1:21" ht="15.75" x14ac:dyDescent="0.25">
      <c r="A10" s="13"/>
      <c r="N10" s="925" t="s">
        <v>1186</v>
      </c>
      <c r="O10" s="925"/>
      <c r="P10" s="925"/>
      <c r="Q10" s="925"/>
    </row>
    <row r="11" spans="1:21" ht="28.5" customHeight="1" x14ac:dyDescent="0.2">
      <c r="A11" s="929" t="s">
        <v>2</v>
      </c>
      <c r="B11" s="929" t="s">
        <v>3</v>
      </c>
      <c r="C11" s="824" t="s">
        <v>847</v>
      </c>
      <c r="D11" s="824"/>
      <c r="E11" s="824"/>
      <c r="F11" s="824" t="s">
        <v>819</v>
      </c>
      <c r="G11" s="824"/>
      <c r="H11" s="824"/>
      <c r="I11" s="879" t="s">
        <v>368</v>
      </c>
      <c r="J11" s="880"/>
      <c r="K11" s="959"/>
      <c r="L11" s="879" t="s">
        <v>90</v>
      </c>
      <c r="M11" s="880"/>
      <c r="N11" s="959"/>
      <c r="O11" s="956" t="s">
        <v>844</v>
      </c>
      <c r="P11" s="957"/>
      <c r="Q11" s="958"/>
    </row>
    <row r="12" spans="1:21" ht="39.75" customHeight="1" x14ac:dyDescent="0.2">
      <c r="A12" s="930"/>
      <c r="B12" s="930"/>
      <c r="C12" s="5" t="s">
        <v>109</v>
      </c>
      <c r="D12" s="5" t="s">
        <v>658</v>
      </c>
      <c r="E12" s="39" t="s">
        <v>18</v>
      </c>
      <c r="F12" s="5" t="s">
        <v>109</v>
      </c>
      <c r="G12" s="5" t="s">
        <v>659</v>
      </c>
      <c r="H12" s="39" t="s">
        <v>18</v>
      </c>
      <c r="I12" s="5" t="s">
        <v>109</v>
      </c>
      <c r="J12" s="5" t="s">
        <v>659</v>
      </c>
      <c r="K12" s="39" t="s">
        <v>18</v>
      </c>
      <c r="L12" s="5" t="s">
        <v>109</v>
      </c>
      <c r="M12" s="5" t="s">
        <v>659</v>
      </c>
      <c r="N12" s="39" t="s">
        <v>18</v>
      </c>
      <c r="O12" s="5" t="s">
        <v>922</v>
      </c>
      <c r="P12" s="5" t="s">
        <v>660</v>
      </c>
      <c r="Q12" s="5" t="s">
        <v>110</v>
      </c>
    </row>
    <row r="13" spans="1:21" s="70" customFormat="1" x14ac:dyDescent="0.2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</row>
    <row r="14" spans="1:21" s="70" customFormat="1" x14ac:dyDescent="0.2">
      <c r="A14" s="18">
        <v>1</v>
      </c>
      <c r="B14" s="361" t="s">
        <v>890</v>
      </c>
      <c r="C14" s="379">
        <f>ROUND(T5_PLAN_vs_PRFM!D12*T5_PLAN_vs_PRFM!E12*2.69/100000,2)</f>
        <v>316.62</v>
      </c>
      <c r="D14" s="379">
        <f>ROUND(T5_PLAN_vs_PRFM!D12*T5_PLAN_vs_PRFM!E12*2.21/100000,2)</f>
        <v>260.12</v>
      </c>
      <c r="E14" s="382">
        <f>SUM(C14:D14)</f>
        <v>576.74</v>
      </c>
      <c r="F14" s="379">
        <v>71.55</v>
      </c>
      <c r="G14" s="379">
        <v>80.78</v>
      </c>
      <c r="H14" s="379">
        <f>SUM(F14:G14)</f>
        <v>152.32999999999998</v>
      </c>
      <c r="I14" s="367">
        <f>ROUND(C14/10975.23*8493.97,2)</f>
        <v>245.04</v>
      </c>
      <c r="J14" s="367">
        <v>187.25</v>
      </c>
      <c r="K14" s="367">
        <f>SUM(I14:J14)</f>
        <v>432.28999999999996</v>
      </c>
      <c r="L14" s="379">
        <f>ROUND('enrolment vs availed_PY'!Q11*2.69/100000,2)</f>
        <v>285.70999999999998</v>
      </c>
      <c r="M14" s="379">
        <f>ROUND(L14/2.69*2.21,2)</f>
        <v>234.73</v>
      </c>
      <c r="N14" s="379">
        <f>SUM(L14:M14)</f>
        <v>520.43999999999994</v>
      </c>
      <c r="O14" s="379">
        <f>F14+I14-L14</f>
        <v>30.879999999999995</v>
      </c>
      <c r="P14" s="379">
        <f>G14+J14-M14</f>
        <v>33.299999999999983</v>
      </c>
      <c r="Q14" s="379">
        <f>SUM(O14:P14)</f>
        <v>64.179999999999978</v>
      </c>
    </row>
    <row r="15" spans="1:21" s="70" customFormat="1" x14ac:dyDescent="0.2">
      <c r="A15" s="18">
        <v>2</v>
      </c>
      <c r="B15" s="361" t="s">
        <v>891</v>
      </c>
      <c r="C15" s="379">
        <f>ROUND(T5_PLAN_vs_PRFM!D13*T5_PLAN_vs_PRFM!E13*2.69/100000,2)</f>
        <v>667.18</v>
      </c>
      <c r="D15" s="379">
        <f>ROUND(T5_PLAN_vs_PRFM!D13*T5_PLAN_vs_PRFM!E13*2.21/100000,2)</f>
        <v>548.13</v>
      </c>
      <c r="E15" s="382">
        <f t="shared" ref="E15:E40" si="0">SUM(C15:D15)</f>
        <v>1215.31</v>
      </c>
      <c r="F15" s="379">
        <v>150.76</v>
      </c>
      <c r="G15" s="379">
        <v>170.21</v>
      </c>
      <c r="H15" s="379">
        <f t="shared" ref="H15:H40" si="1">SUM(F15:G15)</f>
        <v>320.97000000000003</v>
      </c>
      <c r="I15" s="367">
        <f t="shared" ref="I15:I40" si="2">ROUND(C15/10975.23*8493.97,2)</f>
        <v>516.35</v>
      </c>
      <c r="J15" s="367">
        <v>368.67</v>
      </c>
      <c r="K15" s="367">
        <f t="shared" ref="K15:K40" si="3">SUM(I15:J15)</f>
        <v>885.02</v>
      </c>
      <c r="L15" s="379">
        <f>ROUND('enrolment vs availed_PY'!Q12*2.69/100000,2)</f>
        <v>562.53</v>
      </c>
      <c r="M15" s="379">
        <f t="shared" ref="M15:M40" si="4">ROUND(L15/2.69*2.21,2)</f>
        <v>462.15</v>
      </c>
      <c r="N15" s="379">
        <f t="shared" ref="N15:N40" si="5">SUM(L15:M15)</f>
        <v>1024.6799999999998</v>
      </c>
      <c r="O15" s="379">
        <f t="shared" ref="O15:O40" si="6">F15+I15-L15</f>
        <v>104.58000000000004</v>
      </c>
      <c r="P15" s="379">
        <f t="shared" ref="P15:P40" si="7">G15+J15-M15</f>
        <v>76.730000000000018</v>
      </c>
      <c r="Q15" s="379">
        <f t="shared" ref="Q15:Q40" si="8">SUM(O15:P15)</f>
        <v>181.31000000000006</v>
      </c>
      <c r="T15" s="389"/>
    </row>
    <row r="16" spans="1:21" s="70" customFormat="1" x14ac:dyDescent="0.2">
      <c r="A16" s="18">
        <v>3</v>
      </c>
      <c r="B16" s="361" t="s">
        <v>892</v>
      </c>
      <c r="C16" s="379">
        <f>ROUND(T5_PLAN_vs_PRFM!D14*T5_PLAN_vs_PRFM!E14*2.69/100000,2)</f>
        <v>434.93</v>
      </c>
      <c r="D16" s="379">
        <f>ROUND(T5_PLAN_vs_PRFM!D14*T5_PLAN_vs_PRFM!E14*2.21/100000,2)</f>
        <v>357.32</v>
      </c>
      <c r="E16" s="382">
        <f t="shared" si="0"/>
        <v>792.25</v>
      </c>
      <c r="F16" s="379">
        <v>98.28</v>
      </c>
      <c r="G16" s="379">
        <v>110.96</v>
      </c>
      <c r="H16" s="379">
        <f t="shared" si="1"/>
        <v>209.24</v>
      </c>
      <c r="I16" s="367">
        <f t="shared" si="2"/>
        <v>336.6</v>
      </c>
      <c r="J16" s="367">
        <v>240.28</v>
      </c>
      <c r="K16" s="367">
        <f t="shared" si="3"/>
        <v>576.88</v>
      </c>
      <c r="L16" s="379">
        <f>ROUND('enrolment vs availed_PY'!Q13*2.69/100000,2)</f>
        <v>366.62</v>
      </c>
      <c r="M16" s="379">
        <f t="shared" si="4"/>
        <v>301.2</v>
      </c>
      <c r="N16" s="379">
        <f t="shared" si="5"/>
        <v>667.81999999999994</v>
      </c>
      <c r="O16" s="379">
        <f t="shared" si="6"/>
        <v>68.259999999999991</v>
      </c>
      <c r="P16" s="379">
        <f t="shared" si="7"/>
        <v>50.04000000000002</v>
      </c>
      <c r="Q16" s="379">
        <f t="shared" si="8"/>
        <v>118.30000000000001</v>
      </c>
    </row>
    <row r="17" spans="1:22" s="70" customFormat="1" x14ac:dyDescent="0.2">
      <c r="A17" s="18">
        <v>4</v>
      </c>
      <c r="B17" s="361" t="s">
        <v>893</v>
      </c>
      <c r="C17" s="379">
        <f>ROUND(T5_PLAN_vs_PRFM!D15*T5_PLAN_vs_PRFM!E15*2.69/100000,2)</f>
        <v>409.06</v>
      </c>
      <c r="D17" s="379">
        <f>ROUND(T5_PLAN_vs_PRFM!D15*T5_PLAN_vs_PRFM!E15*2.21/100000,2)</f>
        <v>336.07</v>
      </c>
      <c r="E17" s="382">
        <f t="shared" si="0"/>
        <v>745.13</v>
      </c>
      <c r="F17" s="379">
        <v>92.43</v>
      </c>
      <c r="G17" s="379">
        <v>104.36</v>
      </c>
      <c r="H17" s="379">
        <f t="shared" si="1"/>
        <v>196.79000000000002</v>
      </c>
      <c r="I17" s="367">
        <f t="shared" si="2"/>
        <v>316.58</v>
      </c>
      <c r="J17" s="367">
        <v>232.55</v>
      </c>
      <c r="K17" s="367">
        <f t="shared" si="3"/>
        <v>549.13</v>
      </c>
      <c r="L17" s="379">
        <f>ROUND('enrolment vs availed_PY'!Q14*2.69/100000,2)</f>
        <v>354.83</v>
      </c>
      <c r="M17" s="379">
        <f t="shared" si="4"/>
        <v>291.51</v>
      </c>
      <c r="N17" s="379">
        <f t="shared" si="5"/>
        <v>646.33999999999992</v>
      </c>
      <c r="O17" s="379">
        <f t="shared" si="6"/>
        <v>54.180000000000007</v>
      </c>
      <c r="P17" s="379">
        <f t="shared" si="7"/>
        <v>45.400000000000034</v>
      </c>
      <c r="Q17" s="379">
        <f t="shared" si="8"/>
        <v>99.580000000000041</v>
      </c>
    </row>
    <row r="18" spans="1:22" s="70" customFormat="1" x14ac:dyDescent="0.2">
      <c r="A18" s="18">
        <v>5</v>
      </c>
      <c r="B18" s="361" t="s">
        <v>894</v>
      </c>
      <c r="C18" s="379">
        <f>ROUND(T5_PLAN_vs_PRFM!D16*T5_PLAN_vs_PRFM!E16*2.69/100000,2)</f>
        <v>438.67</v>
      </c>
      <c r="D18" s="379">
        <f>ROUND(T5_PLAN_vs_PRFM!D16*T5_PLAN_vs_PRFM!E16*2.21/100000,2)</f>
        <v>360.39</v>
      </c>
      <c r="E18" s="382">
        <f t="shared" si="0"/>
        <v>799.06</v>
      </c>
      <c r="F18" s="379">
        <v>99.13</v>
      </c>
      <c r="G18" s="379">
        <v>111.91</v>
      </c>
      <c r="H18" s="379">
        <f t="shared" si="1"/>
        <v>211.04</v>
      </c>
      <c r="I18" s="367">
        <f t="shared" si="2"/>
        <v>339.5</v>
      </c>
      <c r="J18" s="367">
        <v>238.82</v>
      </c>
      <c r="K18" s="367">
        <f t="shared" si="3"/>
        <v>578.31999999999994</v>
      </c>
      <c r="L18" s="379">
        <f>ROUND('enrolment vs availed_PY'!Q15*2.69/100000,2)</f>
        <v>364.39</v>
      </c>
      <c r="M18" s="379">
        <f t="shared" si="4"/>
        <v>299.37</v>
      </c>
      <c r="N18" s="379">
        <f t="shared" si="5"/>
        <v>663.76</v>
      </c>
      <c r="O18" s="379">
        <f t="shared" si="6"/>
        <v>74.240000000000009</v>
      </c>
      <c r="P18" s="379">
        <f t="shared" si="7"/>
        <v>51.360000000000014</v>
      </c>
      <c r="Q18" s="379">
        <f t="shared" si="8"/>
        <v>125.60000000000002</v>
      </c>
      <c r="U18" s="389"/>
    </row>
    <row r="19" spans="1:22" s="70" customFormat="1" x14ac:dyDescent="0.2">
      <c r="A19" s="18">
        <v>6</v>
      </c>
      <c r="B19" s="361" t="s">
        <v>895</v>
      </c>
      <c r="C19" s="379">
        <f>ROUND(T5_PLAN_vs_PRFM!D17*T5_PLAN_vs_PRFM!E17*2.69/100000,2)</f>
        <v>177.44</v>
      </c>
      <c r="D19" s="379">
        <f>ROUND(T5_PLAN_vs_PRFM!D17*T5_PLAN_vs_PRFM!E17*2.21/100000,2)</f>
        <v>145.78</v>
      </c>
      <c r="E19" s="382">
        <f t="shared" si="0"/>
        <v>323.22000000000003</v>
      </c>
      <c r="F19" s="379">
        <v>40.1</v>
      </c>
      <c r="G19" s="379">
        <v>45.27</v>
      </c>
      <c r="H19" s="379">
        <f t="shared" si="1"/>
        <v>85.37</v>
      </c>
      <c r="I19" s="367">
        <f t="shared" si="2"/>
        <v>137.32</v>
      </c>
      <c r="J19" s="367">
        <v>99.61</v>
      </c>
      <c r="K19" s="367">
        <f t="shared" si="3"/>
        <v>236.93</v>
      </c>
      <c r="L19" s="379">
        <f>ROUND('enrolment vs availed_PY'!Q16*2.69/100000,2)</f>
        <v>151.99</v>
      </c>
      <c r="M19" s="379">
        <f t="shared" si="4"/>
        <v>124.87</v>
      </c>
      <c r="N19" s="379">
        <f t="shared" si="5"/>
        <v>276.86</v>
      </c>
      <c r="O19" s="379">
        <f t="shared" si="6"/>
        <v>25.429999999999978</v>
      </c>
      <c r="P19" s="379">
        <f t="shared" si="7"/>
        <v>20.009999999999991</v>
      </c>
      <c r="Q19" s="379">
        <f t="shared" si="8"/>
        <v>45.439999999999969</v>
      </c>
    </row>
    <row r="20" spans="1:22" s="70" customFormat="1" x14ac:dyDescent="0.2">
      <c r="A20" s="18">
        <v>7</v>
      </c>
      <c r="B20" s="361" t="s">
        <v>896</v>
      </c>
      <c r="C20" s="379">
        <f>ROUND(T5_PLAN_vs_PRFM!D18*T5_PLAN_vs_PRFM!E18*2.69/100000,2)</f>
        <v>875.43</v>
      </c>
      <c r="D20" s="379">
        <f>ROUND(T5_PLAN_vs_PRFM!D18*T5_PLAN_vs_PRFM!E18*2.21/100000,2)</f>
        <v>719.22</v>
      </c>
      <c r="E20" s="382">
        <f t="shared" si="0"/>
        <v>1594.65</v>
      </c>
      <c r="F20" s="379">
        <v>197.82</v>
      </c>
      <c r="G20" s="379">
        <v>223.34</v>
      </c>
      <c r="H20" s="379">
        <f t="shared" si="1"/>
        <v>421.15999999999997</v>
      </c>
      <c r="I20" s="367">
        <f t="shared" si="2"/>
        <v>677.51</v>
      </c>
      <c r="J20" s="367">
        <v>467.94</v>
      </c>
      <c r="K20" s="367">
        <f t="shared" si="3"/>
        <v>1145.45</v>
      </c>
      <c r="L20" s="379">
        <f>ROUND('enrolment vs availed_PY'!Q17*2.69/100000,2)</f>
        <v>713.99</v>
      </c>
      <c r="M20" s="379">
        <f t="shared" si="4"/>
        <v>586.59</v>
      </c>
      <c r="N20" s="379">
        <f t="shared" si="5"/>
        <v>1300.58</v>
      </c>
      <c r="O20" s="379">
        <f t="shared" si="6"/>
        <v>161.33999999999992</v>
      </c>
      <c r="P20" s="379">
        <f t="shared" si="7"/>
        <v>104.68999999999994</v>
      </c>
      <c r="Q20" s="379">
        <f t="shared" si="8"/>
        <v>266.02999999999986</v>
      </c>
    </row>
    <row r="21" spans="1:22" s="70" customFormat="1" x14ac:dyDescent="0.2">
      <c r="A21" s="18">
        <v>8</v>
      </c>
      <c r="B21" s="361" t="s">
        <v>897</v>
      </c>
      <c r="C21" s="379">
        <f>ROUND(T5_PLAN_vs_PRFM!D19*T5_PLAN_vs_PRFM!E19*2.69/100000,2)</f>
        <v>163.1</v>
      </c>
      <c r="D21" s="379">
        <f>ROUND(T5_PLAN_vs_PRFM!D19*T5_PLAN_vs_PRFM!E19*2.21/100000,2)</f>
        <v>133.99</v>
      </c>
      <c r="E21" s="382">
        <f t="shared" si="0"/>
        <v>297.09000000000003</v>
      </c>
      <c r="F21" s="379">
        <v>36.86</v>
      </c>
      <c r="G21" s="379">
        <v>41.61</v>
      </c>
      <c r="H21" s="379">
        <f t="shared" si="1"/>
        <v>78.47</v>
      </c>
      <c r="I21" s="367">
        <f t="shared" si="2"/>
        <v>126.23</v>
      </c>
      <c r="J21" s="367">
        <v>92.55</v>
      </c>
      <c r="K21" s="367">
        <f t="shared" si="3"/>
        <v>218.78</v>
      </c>
      <c r="L21" s="379">
        <f>ROUND('enrolment vs availed_PY'!Q18*2.69/100000,2)</f>
        <v>141.21</v>
      </c>
      <c r="M21" s="379">
        <f t="shared" si="4"/>
        <v>116.01</v>
      </c>
      <c r="N21" s="379">
        <f t="shared" si="5"/>
        <v>257.22000000000003</v>
      </c>
      <c r="O21" s="379">
        <f t="shared" si="6"/>
        <v>21.879999999999995</v>
      </c>
      <c r="P21" s="379">
        <f t="shared" si="7"/>
        <v>18.149999999999991</v>
      </c>
      <c r="Q21" s="379">
        <f t="shared" si="8"/>
        <v>40.029999999999987</v>
      </c>
    </row>
    <row r="22" spans="1:22" s="70" customFormat="1" x14ac:dyDescent="0.2">
      <c r="A22" s="18">
        <v>9</v>
      </c>
      <c r="B22" s="361" t="s">
        <v>898</v>
      </c>
      <c r="C22" s="379">
        <f>ROUND(T5_PLAN_vs_PRFM!D20*T5_PLAN_vs_PRFM!E20*2.69/100000,2)</f>
        <v>304.77999999999997</v>
      </c>
      <c r="D22" s="379">
        <f>ROUND(T5_PLAN_vs_PRFM!D20*T5_PLAN_vs_PRFM!E20*2.21/100000,2)</f>
        <v>250.4</v>
      </c>
      <c r="E22" s="382">
        <f t="shared" si="0"/>
        <v>555.17999999999995</v>
      </c>
      <c r="F22" s="379">
        <v>68.87</v>
      </c>
      <c r="G22" s="379">
        <v>77.760000000000005</v>
      </c>
      <c r="H22" s="379">
        <f t="shared" si="1"/>
        <v>146.63</v>
      </c>
      <c r="I22" s="367">
        <f t="shared" si="2"/>
        <v>235.88</v>
      </c>
      <c r="J22" s="367">
        <v>173.93</v>
      </c>
      <c r="K22" s="367">
        <f t="shared" si="3"/>
        <v>409.81</v>
      </c>
      <c r="L22" s="379">
        <f>ROUND('enrolment vs availed_PY'!Q19*2.69/100000,2)</f>
        <v>265.39</v>
      </c>
      <c r="M22" s="379">
        <f t="shared" si="4"/>
        <v>218.03</v>
      </c>
      <c r="N22" s="379">
        <f t="shared" si="5"/>
        <v>483.41999999999996</v>
      </c>
      <c r="O22" s="379">
        <f t="shared" si="6"/>
        <v>39.360000000000014</v>
      </c>
      <c r="P22" s="379">
        <f t="shared" si="7"/>
        <v>33.659999999999997</v>
      </c>
      <c r="Q22" s="379">
        <f t="shared" si="8"/>
        <v>73.02000000000001</v>
      </c>
    </row>
    <row r="23" spans="1:22" s="70" customFormat="1" x14ac:dyDescent="0.2">
      <c r="A23" s="18">
        <v>10</v>
      </c>
      <c r="B23" s="361" t="s">
        <v>899</v>
      </c>
      <c r="C23" s="379">
        <f>ROUND(T5_PLAN_vs_PRFM!D21*T5_PLAN_vs_PRFM!E21*2.69/100000,2)</f>
        <v>375.46</v>
      </c>
      <c r="D23" s="379">
        <f>ROUND(T5_PLAN_vs_PRFM!D21*T5_PLAN_vs_PRFM!E21*2.21/100000,2)</f>
        <v>308.45999999999998</v>
      </c>
      <c r="E23" s="382">
        <f t="shared" si="0"/>
        <v>683.92</v>
      </c>
      <c r="F23" s="379">
        <v>84.84</v>
      </c>
      <c r="G23" s="379">
        <v>95.79</v>
      </c>
      <c r="H23" s="379">
        <f t="shared" si="1"/>
        <v>180.63</v>
      </c>
      <c r="I23" s="367">
        <f t="shared" si="2"/>
        <v>290.58</v>
      </c>
      <c r="J23" s="367">
        <v>216.5</v>
      </c>
      <c r="K23" s="367">
        <f t="shared" si="3"/>
        <v>507.08</v>
      </c>
      <c r="L23" s="379">
        <f>ROUND('enrolment vs availed_PY'!Q20*2.69/100000,2)</f>
        <v>330.34</v>
      </c>
      <c r="M23" s="379">
        <f t="shared" si="4"/>
        <v>271.39</v>
      </c>
      <c r="N23" s="379">
        <f t="shared" si="5"/>
        <v>601.73</v>
      </c>
      <c r="O23" s="379">
        <f t="shared" si="6"/>
        <v>45.079999999999984</v>
      </c>
      <c r="P23" s="379">
        <f t="shared" si="7"/>
        <v>40.900000000000034</v>
      </c>
      <c r="Q23" s="379">
        <f t="shared" si="8"/>
        <v>85.980000000000018</v>
      </c>
    </row>
    <row r="24" spans="1:22" s="70" customFormat="1" x14ac:dyDescent="0.2">
      <c r="A24" s="18">
        <v>11</v>
      </c>
      <c r="B24" s="361" t="s">
        <v>900</v>
      </c>
      <c r="C24" s="379">
        <f>ROUND(T5_PLAN_vs_PRFM!D22*T5_PLAN_vs_PRFM!E22*2.69/100000,2)</f>
        <v>295.54000000000002</v>
      </c>
      <c r="D24" s="379">
        <f>ROUND(T5_PLAN_vs_PRFM!D22*T5_PLAN_vs_PRFM!E22*2.21/100000,2)</f>
        <v>242.81</v>
      </c>
      <c r="E24" s="382">
        <f t="shared" si="0"/>
        <v>538.35</v>
      </c>
      <c r="F24" s="379">
        <v>66.78</v>
      </c>
      <c r="G24" s="379">
        <v>75.400000000000006</v>
      </c>
      <c r="H24" s="379">
        <f t="shared" si="1"/>
        <v>142.18</v>
      </c>
      <c r="I24" s="367">
        <f t="shared" si="2"/>
        <v>228.72</v>
      </c>
      <c r="J24" s="367">
        <v>183.42</v>
      </c>
      <c r="K24" s="367">
        <f t="shared" si="3"/>
        <v>412.14</v>
      </c>
      <c r="L24" s="379">
        <f>ROUND('enrolment vs availed_PY'!Q21*2.69/100000,2)</f>
        <v>279.87</v>
      </c>
      <c r="M24" s="379">
        <f t="shared" si="4"/>
        <v>229.93</v>
      </c>
      <c r="N24" s="379">
        <f t="shared" si="5"/>
        <v>509.8</v>
      </c>
      <c r="O24" s="379">
        <f t="shared" si="6"/>
        <v>15.629999999999995</v>
      </c>
      <c r="P24" s="379">
        <f t="shared" si="7"/>
        <v>28.889999999999986</v>
      </c>
      <c r="Q24" s="379">
        <f t="shared" si="8"/>
        <v>44.519999999999982</v>
      </c>
    </row>
    <row r="25" spans="1:22" x14ac:dyDescent="0.2">
      <c r="A25" s="18">
        <v>12</v>
      </c>
      <c r="B25" s="361" t="s">
        <v>901</v>
      </c>
      <c r="C25" s="379">
        <f>ROUND(T5_PLAN_vs_PRFM!D23*T5_PLAN_vs_PRFM!E23*2.69/100000,2)</f>
        <v>653.44000000000005</v>
      </c>
      <c r="D25" s="379">
        <f>ROUND(T5_PLAN_vs_PRFM!D23*T5_PLAN_vs_PRFM!E23*2.21/100000,2)</f>
        <v>536.84</v>
      </c>
      <c r="E25" s="382">
        <f t="shared" si="0"/>
        <v>1190.2800000000002</v>
      </c>
      <c r="F25" s="340">
        <v>147.66</v>
      </c>
      <c r="G25" s="340">
        <v>166.71</v>
      </c>
      <c r="H25" s="379">
        <f t="shared" si="1"/>
        <v>314.37</v>
      </c>
      <c r="I25" s="367">
        <f t="shared" si="2"/>
        <v>505.71</v>
      </c>
      <c r="J25" s="367">
        <v>341.84</v>
      </c>
      <c r="K25" s="367">
        <f t="shared" si="3"/>
        <v>847.55</v>
      </c>
      <c r="L25" s="379">
        <f>ROUND('enrolment vs availed_PY'!Q22*2.69/100000,2)</f>
        <v>521.59</v>
      </c>
      <c r="M25" s="379">
        <f t="shared" si="4"/>
        <v>428.52</v>
      </c>
      <c r="N25" s="379">
        <f t="shared" si="5"/>
        <v>950.11</v>
      </c>
      <c r="O25" s="379">
        <f t="shared" si="6"/>
        <v>131.77999999999997</v>
      </c>
      <c r="P25" s="379">
        <f t="shared" si="7"/>
        <v>80.029999999999973</v>
      </c>
      <c r="Q25" s="379">
        <f t="shared" si="8"/>
        <v>211.80999999999995</v>
      </c>
      <c r="R25" s="70"/>
      <c r="S25" s="70"/>
      <c r="V25" s="70"/>
    </row>
    <row r="26" spans="1:22" x14ac:dyDescent="0.2">
      <c r="A26" s="18">
        <v>13</v>
      </c>
      <c r="B26" s="361" t="s">
        <v>902</v>
      </c>
      <c r="C26" s="379">
        <f>ROUND(T5_PLAN_vs_PRFM!D24*T5_PLAN_vs_PRFM!E24*2.69/100000,2)</f>
        <v>393.81</v>
      </c>
      <c r="D26" s="379">
        <f>ROUND(T5_PLAN_vs_PRFM!D24*T5_PLAN_vs_PRFM!E24*2.21/100000,2)</f>
        <v>323.54000000000002</v>
      </c>
      <c r="E26" s="382">
        <f t="shared" si="0"/>
        <v>717.35</v>
      </c>
      <c r="F26" s="340">
        <v>88.99</v>
      </c>
      <c r="G26" s="340">
        <v>100.47</v>
      </c>
      <c r="H26" s="379">
        <f t="shared" si="1"/>
        <v>189.45999999999998</v>
      </c>
      <c r="I26" s="367">
        <f t="shared" si="2"/>
        <v>304.77999999999997</v>
      </c>
      <c r="J26" s="367">
        <v>240.19</v>
      </c>
      <c r="K26" s="367">
        <f t="shared" si="3"/>
        <v>544.97</v>
      </c>
      <c r="L26" s="379">
        <f>ROUND('enrolment vs availed_PY'!Q23*2.69/100000,2)</f>
        <v>366.48</v>
      </c>
      <c r="M26" s="379">
        <f t="shared" si="4"/>
        <v>301.08999999999997</v>
      </c>
      <c r="N26" s="379">
        <f t="shared" si="5"/>
        <v>667.56999999999994</v>
      </c>
      <c r="O26" s="379">
        <f t="shared" si="6"/>
        <v>27.289999999999964</v>
      </c>
      <c r="P26" s="379">
        <f t="shared" si="7"/>
        <v>39.569999999999993</v>
      </c>
      <c r="Q26" s="379">
        <f t="shared" si="8"/>
        <v>66.859999999999957</v>
      </c>
      <c r="R26" s="70"/>
      <c r="S26" s="70"/>
      <c r="V26" s="70"/>
    </row>
    <row r="27" spans="1:22" x14ac:dyDescent="0.2">
      <c r="A27" s="18">
        <v>14</v>
      </c>
      <c r="B27" s="361" t="s">
        <v>903</v>
      </c>
      <c r="C27" s="379">
        <f>ROUND(T5_PLAN_vs_PRFM!D25*T5_PLAN_vs_PRFM!E25*2.69/100000,2)</f>
        <v>333.78</v>
      </c>
      <c r="D27" s="379">
        <f>ROUND(T5_PLAN_vs_PRFM!D25*T5_PLAN_vs_PRFM!E25*2.21/100000,2)</f>
        <v>274.22000000000003</v>
      </c>
      <c r="E27" s="382">
        <f t="shared" si="0"/>
        <v>608</v>
      </c>
      <c r="F27" s="340">
        <v>75.42</v>
      </c>
      <c r="G27" s="340">
        <v>85.15</v>
      </c>
      <c r="H27" s="379">
        <f t="shared" si="1"/>
        <v>160.57</v>
      </c>
      <c r="I27" s="367">
        <f t="shared" si="2"/>
        <v>258.32</v>
      </c>
      <c r="J27" s="367">
        <v>204.71</v>
      </c>
      <c r="K27" s="367">
        <f t="shared" si="3"/>
        <v>463.03</v>
      </c>
      <c r="L27" s="379">
        <f>ROUND('enrolment vs availed_PY'!Q24*2.69/100000,2)</f>
        <v>312.36</v>
      </c>
      <c r="M27" s="379">
        <f t="shared" si="4"/>
        <v>256.62</v>
      </c>
      <c r="N27" s="379">
        <f t="shared" si="5"/>
        <v>568.98</v>
      </c>
      <c r="O27" s="379">
        <f t="shared" si="6"/>
        <v>21.379999999999995</v>
      </c>
      <c r="P27" s="379">
        <f t="shared" si="7"/>
        <v>33.240000000000009</v>
      </c>
      <c r="Q27" s="379">
        <f t="shared" si="8"/>
        <v>54.620000000000005</v>
      </c>
      <c r="R27" s="70"/>
      <c r="S27" s="70"/>
      <c r="V27" s="70"/>
    </row>
    <row r="28" spans="1:22" x14ac:dyDescent="0.2">
      <c r="A28" s="18">
        <v>15</v>
      </c>
      <c r="B28" s="361" t="s">
        <v>904</v>
      </c>
      <c r="C28" s="379">
        <f>ROUND(T5_PLAN_vs_PRFM!D26*T5_PLAN_vs_PRFM!E26*2.69/100000,2)</f>
        <v>468.83</v>
      </c>
      <c r="D28" s="379">
        <f>ROUND(T5_PLAN_vs_PRFM!D26*T5_PLAN_vs_PRFM!E26*2.21/100000,2)</f>
        <v>385.18</v>
      </c>
      <c r="E28" s="382">
        <f t="shared" si="0"/>
        <v>854.01</v>
      </c>
      <c r="F28" s="340">
        <v>105.94</v>
      </c>
      <c r="G28" s="340">
        <v>119.61</v>
      </c>
      <c r="H28" s="379">
        <f t="shared" si="1"/>
        <v>225.55</v>
      </c>
      <c r="I28" s="367">
        <f t="shared" si="2"/>
        <v>362.84</v>
      </c>
      <c r="J28" s="367">
        <v>261.66000000000003</v>
      </c>
      <c r="K28" s="367">
        <f t="shared" si="3"/>
        <v>624.5</v>
      </c>
      <c r="L28" s="379">
        <f>ROUND('enrolment vs availed_PY'!Q25*2.69/100000,2)</f>
        <v>399.24</v>
      </c>
      <c r="M28" s="379">
        <f t="shared" si="4"/>
        <v>328</v>
      </c>
      <c r="N28" s="379">
        <f t="shared" si="5"/>
        <v>727.24</v>
      </c>
      <c r="O28" s="379">
        <f t="shared" si="6"/>
        <v>69.539999999999964</v>
      </c>
      <c r="P28" s="379">
        <f t="shared" si="7"/>
        <v>53.270000000000039</v>
      </c>
      <c r="Q28" s="379">
        <f t="shared" si="8"/>
        <v>122.81</v>
      </c>
      <c r="R28" s="70"/>
      <c r="S28" s="70"/>
      <c r="V28" s="70"/>
    </row>
    <row r="29" spans="1:22" x14ac:dyDescent="0.2">
      <c r="A29" s="18">
        <v>16</v>
      </c>
      <c r="B29" s="361" t="s">
        <v>905</v>
      </c>
      <c r="C29" s="379">
        <f>ROUND(T5_PLAN_vs_PRFM!D27*T5_PLAN_vs_PRFM!E27*2.69/100000,2)</f>
        <v>315.98</v>
      </c>
      <c r="D29" s="379">
        <f>ROUND(T5_PLAN_vs_PRFM!D27*T5_PLAN_vs_PRFM!E27*2.21/100000,2)</f>
        <v>259.58999999999997</v>
      </c>
      <c r="E29" s="382">
        <f t="shared" si="0"/>
        <v>575.56999999999994</v>
      </c>
      <c r="F29" s="340">
        <v>71.400000000000006</v>
      </c>
      <c r="G29" s="340">
        <v>80.61</v>
      </c>
      <c r="H29" s="379">
        <f t="shared" si="1"/>
        <v>152.01</v>
      </c>
      <c r="I29" s="367">
        <f t="shared" si="2"/>
        <v>244.54</v>
      </c>
      <c r="J29" s="367">
        <v>192.07</v>
      </c>
      <c r="K29" s="367">
        <f t="shared" si="3"/>
        <v>436.61</v>
      </c>
      <c r="L29" s="379">
        <f>ROUND('enrolment vs availed_PY'!Q26*2.69/100000,2)</f>
        <v>293.07</v>
      </c>
      <c r="M29" s="379">
        <f t="shared" si="4"/>
        <v>240.77</v>
      </c>
      <c r="N29" s="379">
        <f t="shared" si="5"/>
        <v>533.84</v>
      </c>
      <c r="O29" s="379">
        <f t="shared" si="6"/>
        <v>22.870000000000005</v>
      </c>
      <c r="P29" s="379">
        <f t="shared" si="7"/>
        <v>31.909999999999997</v>
      </c>
      <c r="Q29" s="379">
        <f t="shared" si="8"/>
        <v>54.78</v>
      </c>
      <c r="R29" s="70"/>
      <c r="S29" s="70"/>
      <c r="V29" s="70"/>
    </row>
    <row r="30" spans="1:22" x14ac:dyDescent="0.2">
      <c r="A30" s="18">
        <v>17</v>
      </c>
      <c r="B30" s="361" t="s">
        <v>906</v>
      </c>
      <c r="C30" s="379">
        <f>ROUND(T5_PLAN_vs_PRFM!D28*T5_PLAN_vs_PRFM!E28*2.69/100000,2)</f>
        <v>449.06</v>
      </c>
      <c r="D30" s="379">
        <f>ROUND(T5_PLAN_vs_PRFM!D28*T5_PLAN_vs_PRFM!E28*2.21/100000,2)</f>
        <v>368.93</v>
      </c>
      <c r="E30" s="382">
        <f t="shared" si="0"/>
        <v>817.99</v>
      </c>
      <c r="F30" s="340">
        <v>101.47</v>
      </c>
      <c r="G30" s="340">
        <v>114.56</v>
      </c>
      <c r="H30" s="379">
        <f t="shared" si="1"/>
        <v>216.03</v>
      </c>
      <c r="I30" s="367">
        <f t="shared" si="2"/>
        <v>347.54</v>
      </c>
      <c r="J30" s="367">
        <v>261.73</v>
      </c>
      <c r="K30" s="367">
        <f t="shared" si="3"/>
        <v>609.27</v>
      </c>
      <c r="L30" s="379">
        <f>ROUND('enrolment vs availed_PY'!Q27*2.69/100000,2)</f>
        <v>399.35</v>
      </c>
      <c r="M30" s="379">
        <f t="shared" si="4"/>
        <v>328.09</v>
      </c>
      <c r="N30" s="379">
        <f t="shared" si="5"/>
        <v>727.44</v>
      </c>
      <c r="O30" s="379">
        <f t="shared" si="6"/>
        <v>49.659999999999968</v>
      </c>
      <c r="P30" s="379">
        <f t="shared" si="7"/>
        <v>48.200000000000045</v>
      </c>
      <c r="Q30" s="379">
        <f t="shared" si="8"/>
        <v>97.860000000000014</v>
      </c>
      <c r="R30" s="70"/>
      <c r="S30" s="70"/>
      <c r="V30" s="70"/>
    </row>
    <row r="31" spans="1:22" x14ac:dyDescent="0.2">
      <c r="A31" s="18">
        <v>18</v>
      </c>
      <c r="B31" s="361" t="s">
        <v>907</v>
      </c>
      <c r="C31" s="379">
        <f>ROUND(T5_PLAN_vs_PRFM!D29*T5_PLAN_vs_PRFM!E29*2.69/100000,2)</f>
        <v>251.74</v>
      </c>
      <c r="D31" s="379">
        <f>ROUND(T5_PLAN_vs_PRFM!D29*T5_PLAN_vs_PRFM!E29*2.21/100000,2)</f>
        <v>206.82</v>
      </c>
      <c r="E31" s="382">
        <f t="shared" si="0"/>
        <v>458.56</v>
      </c>
      <c r="F31" s="340">
        <v>56.89</v>
      </c>
      <c r="G31" s="340">
        <v>64.22</v>
      </c>
      <c r="H31" s="379">
        <f t="shared" si="1"/>
        <v>121.11</v>
      </c>
      <c r="I31" s="367">
        <f t="shared" si="2"/>
        <v>194.83</v>
      </c>
      <c r="J31" s="367">
        <v>138.29</v>
      </c>
      <c r="K31" s="367">
        <f t="shared" si="3"/>
        <v>333.12</v>
      </c>
      <c r="L31" s="379">
        <f>ROUND('enrolment vs availed_PY'!Q28*2.69/100000,2)</f>
        <v>211</v>
      </c>
      <c r="M31" s="379">
        <f t="shared" si="4"/>
        <v>173.35</v>
      </c>
      <c r="N31" s="379">
        <f t="shared" si="5"/>
        <v>384.35</v>
      </c>
      <c r="O31" s="379">
        <f t="shared" si="6"/>
        <v>40.720000000000027</v>
      </c>
      <c r="P31" s="379">
        <f t="shared" si="7"/>
        <v>29.159999999999997</v>
      </c>
      <c r="Q31" s="379">
        <f t="shared" si="8"/>
        <v>69.880000000000024</v>
      </c>
      <c r="R31" s="70"/>
      <c r="S31" s="70"/>
      <c r="V31" s="70"/>
    </row>
    <row r="32" spans="1:22" x14ac:dyDescent="0.2">
      <c r="A32" s="18">
        <v>19</v>
      </c>
      <c r="B32" s="361" t="s">
        <v>908</v>
      </c>
      <c r="C32" s="379">
        <f>ROUND(T5_PLAN_vs_PRFM!D30*T5_PLAN_vs_PRFM!E30*2.69/100000,2)</f>
        <v>477.85</v>
      </c>
      <c r="D32" s="379">
        <f>ROUND(T5_PLAN_vs_PRFM!D30*T5_PLAN_vs_PRFM!E30*2.21/100000,2)</f>
        <v>392.59</v>
      </c>
      <c r="E32" s="382">
        <f t="shared" si="0"/>
        <v>870.44</v>
      </c>
      <c r="F32" s="340">
        <v>107.98</v>
      </c>
      <c r="G32" s="340">
        <v>121.91</v>
      </c>
      <c r="H32" s="379">
        <f t="shared" si="1"/>
        <v>229.89</v>
      </c>
      <c r="I32" s="367">
        <f t="shared" si="2"/>
        <v>369.82</v>
      </c>
      <c r="J32" s="367">
        <v>270.14</v>
      </c>
      <c r="K32" s="367">
        <f t="shared" si="3"/>
        <v>639.96</v>
      </c>
      <c r="L32" s="379">
        <f>ROUND('enrolment vs availed_PY'!Q29*2.69/100000,2)</f>
        <v>412.19</v>
      </c>
      <c r="M32" s="379">
        <f t="shared" si="4"/>
        <v>338.64</v>
      </c>
      <c r="N32" s="379">
        <f t="shared" si="5"/>
        <v>750.82999999999993</v>
      </c>
      <c r="O32" s="379">
        <f t="shared" si="6"/>
        <v>65.610000000000014</v>
      </c>
      <c r="P32" s="379">
        <f t="shared" si="7"/>
        <v>53.409999999999968</v>
      </c>
      <c r="Q32" s="379">
        <f t="shared" si="8"/>
        <v>119.01999999999998</v>
      </c>
      <c r="R32" s="70"/>
      <c r="S32" s="70"/>
      <c r="V32" s="70"/>
    </row>
    <row r="33" spans="1:22" x14ac:dyDescent="0.2">
      <c r="A33" s="18">
        <v>20</v>
      </c>
      <c r="B33" s="361" t="s">
        <v>909</v>
      </c>
      <c r="C33" s="379">
        <f>ROUND(T5_PLAN_vs_PRFM!D31*T5_PLAN_vs_PRFM!E31*2.69/100000,2)</f>
        <v>406.11</v>
      </c>
      <c r="D33" s="379">
        <f>ROUND(T5_PLAN_vs_PRFM!D31*T5_PLAN_vs_PRFM!E31*2.21/100000,2)</f>
        <v>333.65</v>
      </c>
      <c r="E33" s="382">
        <f t="shared" si="0"/>
        <v>739.76</v>
      </c>
      <c r="F33" s="340">
        <v>91.77</v>
      </c>
      <c r="G33" s="340">
        <v>103.61</v>
      </c>
      <c r="H33" s="379">
        <f t="shared" si="1"/>
        <v>195.38</v>
      </c>
      <c r="I33" s="367">
        <f t="shared" si="2"/>
        <v>314.3</v>
      </c>
      <c r="J33" s="367">
        <v>219.9</v>
      </c>
      <c r="K33" s="367">
        <f t="shared" si="3"/>
        <v>534.20000000000005</v>
      </c>
      <c r="L33" s="379">
        <f>ROUND('enrolment vs availed_PY'!Q30*2.69/100000,2)</f>
        <v>335.52</v>
      </c>
      <c r="M33" s="379">
        <f t="shared" si="4"/>
        <v>275.64999999999998</v>
      </c>
      <c r="N33" s="379">
        <f t="shared" si="5"/>
        <v>611.16999999999996</v>
      </c>
      <c r="O33" s="379">
        <f t="shared" si="6"/>
        <v>70.550000000000011</v>
      </c>
      <c r="P33" s="379">
        <f t="shared" si="7"/>
        <v>47.860000000000014</v>
      </c>
      <c r="Q33" s="379">
        <f t="shared" si="8"/>
        <v>118.41000000000003</v>
      </c>
      <c r="R33" s="70"/>
      <c r="S33" s="70"/>
      <c r="V33" s="70"/>
    </row>
    <row r="34" spans="1:22" x14ac:dyDescent="0.2">
      <c r="A34" s="18">
        <v>21</v>
      </c>
      <c r="B34" s="361" t="s">
        <v>910</v>
      </c>
      <c r="C34" s="379">
        <f>ROUND(T5_PLAN_vs_PRFM!D32*T5_PLAN_vs_PRFM!E32*2.69/100000,2)</f>
        <v>95.99</v>
      </c>
      <c r="D34" s="379">
        <f>ROUND(T5_PLAN_vs_PRFM!D32*T5_PLAN_vs_PRFM!E32*2.21/100000,2)</f>
        <v>78.86</v>
      </c>
      <c r="E34" s="382">
        <f t="shared" si="0"/>
        <v>174.85</v>
      </c>
      <c r="F34" s="340">
        <v>21.69</v>
      </c>
      <c r="G34" s="340">
        <v>24.49</v>
      </c>
      <c r="H34" s="379">
        <f t="shared" si="1"/>
        <v>46.18</v>
      </c>
      <c r="I34" s="367">
        <f t="shared" si="2"/>
        <v>74.290000000000006</v>
      </c>
      <c r="J34" s="367">
        <v>54.71</v>
      </c>
      <c r="K34" s="367">
        <f t="shared" si="3"/>
        <v>129</v>
      </c>
      <c r="L34" s="379">
        <f>ROUND('enrolment vs availed_PY'!Q31*2.69/100000,2)</f>
        <v>83.48</v>
      </c>
      <c r="M34" s="379">
        <f t="shared" si="4"/>
        <v>68.58</v>
      </c>
      <c r="N34" s="379">
        <f t="shared" si="5"/>
        <v>152.06</v>
      </c>
      <c r="O34" s="379">
        <f t="shared" si="6"/>
        <v>12.5</v>
      </c>
      <c r="P34" s="379">
        <f t="shared" si="7"/>
        <v>10.620000000000005</v>
      </c>
      <c r="Q34" s="379">
        <f t="shared" si="8"/>
        <v>23.120000000000005</v>
      </c>
      <c r="R34" s="70"/>
      <c r="S34" s="70"/>
      <c r="V34" s="70"/>
    </row>
    <row r="35" spans="1:22" x14ac:dyDescent="0.2">
      <c r="A35" s="18">
        <v>22</v>
      </c>
      <c r="B35" s="361" t="s">
        <v>911</v>
      </c>
      <c r="C35" s="379">
        <f>ROUND(T5_PLAN_vs_PRFM!D33*T5_PLAN_vs_PRFM!E33*2.69/100000,2)</f>
        <v>505.86</v>
      </c>
      <c r="D35" s="379">
        <f>ROUND(T5_PLAN_vs_PRFM!D33*T5_PLAN_vs_PRFM!E33*2.21/100000,2)</f>
        <v>415.59</v>
      </c>
      <c r="E35" s="382">
        <f t="shared" si="0"/>
        <v>921.45</v>
      </c>
      <c r="F35" s="340">
        <v>114.31</v>
      </c>
      <c r="G35" s="340">
        <v>129.05000000000001</v>
      </c>
      <c r="H35" s="379">
        <f t="shared" si="1"/>
        <v>243.36</v>
      </c>
      <c r="I35" s="367">
        <f t="shared" si="2"/>
        <v>391.5</v>
      </c>
      <c r="J35" s="367">
        <v>285.74</v>
      </c>
      <c r="K35" s="367">
        <f t="shared" si="3"/>
        <v>677.24</v>
      </c>
      <c r="L35" s="379">
        <f>ROUND('enrolment vs availed_PY'!Q32*2.69/100000,2)</f>
        <v>435.99</v>
      </c>
      <c r="M35" s="379">
        <f t="shared" si="4"/>
        <v>358.19</v>
      </c>
      <c r="N35" s="379">
        <f t="shared" si="5"/>
        <v>794.18000000000006</v>
      </c>
      <c r="O35" s="379">
        <f t="shared" si="6"/>
        <v>69.819999999999993</v>
      </c>
      <c r="P35" s="379">
        <f t="shared" si="7"/>
        <v>56.600000000000023</v>
      </c>
      <c r="Q35" s="379">
        <f t="shared" si="8"/>
        <v>126.42000000000002</v>
      </c>
      <c r="R35" s="70"/>
      <c r="S35" s="70"/>
      <c r="V35" s="70"/>
    </row>
    <row r="36" spans="1:22" x14ac:dyDescent="0.2">
      <c r="A36" s="18">
        <v>23</v>
      </c>
      <c r="B36" s="361" t="s">
        <v>912</v>
      </c>
      <c r="C36" s="379">
        <f>ROUND(T5_PLAN_vs_PRFM!D34*T5_PLAN_vs_PRFM!E34*2.69/100000,2)</f>
        <v>609.01</v>
      </c>
      <c r="D36" s="379">
        <f>ROUND(T5_PLAN_vs_PRFM!D34*T5_PLAN_vs_PRFM!E34*2.21/100000,2)</f>
        <v>500.34</v>
      </c>
      <c r="E36" s="382">
        <f t="shared" si="0"/>
        <v>1109.3499999999999</v>
      </c>
      <c r="F36" s="340">
        <v>137.62</v>
      </c>
      <c r="G36" s="340">
        <v>155.37</v>
      </c>
      <c r="H36" s="379">
        <f t="shared" si="1"/>
        <v>292.99</v>
      </c>
      <c r="I36" s="367">
        <f t="shared" si="2"/>
        <v>471.33</v>
      </c>
      <c r="J36" s="367">
        <v>344.43</v>
      </c>
      <c r="K36" s="367">
        <f t="shared" si="3"/>
        <v>815.76</v>
      </c>
      <c r="L36" s="379">
        <f>ROUND('enrolment vs availed_PY'!Q33*2.69/100000,2)</f>
        <v>525.53</v>
      </c>
      <c r="M36" s="379">
        <f t="shared" si="4"/>
        <v>431.76</v>
      </c>
      <c r="N36" s="379">
        <f t="shared" si="5"/>
        <v>957.29</v>
      </c>
      <c r="O36" s="379">
        <f t="shared" si="6"/>
        <v>83.420000000000073</v>
      </c>
      <c r="P36" s="379">
        <f t="shared" si="7"/>
        <v>68.04000000000002</v>
      </c>
      <c r="Q36" s="379">
        <f t="shared" si="8"/>
        <v>151.46000000000009</v>
      </c>
      <c r="R36" s="70"/>
      <c r="S36" s="70"/>
      <c r="V36" s="70"/>
    </row>
    <row r="37" spans="1:22" x14ac:dyDescent="0.2">
      <c r="A37" s="18">
        <v>24</v>
      </c>
      <c r="B37" s="361" t="s">
        <v>913</v>
      </c>
      <c r="C37" s="379">
        <f>ROUND(T5_PLAN_vs_PRFM!D35*T5_PLAN_vs_PRFM!E35*2.69/100000,2)</f>
        <v>670.11</v>
      </c>
      <c r="D37" s="379">
        <f>ROUND(T5_PLAN_vs_PRFM!D35*T5_PLAN_vs_PRFM!E35*2.21/100000,2)</f>
        <v>550.53</v>
      </c>
      <c r="E37" s="382">
        <f t="shared" si="0"/>
        <v>1220.6399999999999</v>
      </c>
      <c r="F37" s="340">
        <v>151.41999999999999</v>
      </c>
      <c r="G37" s="340">
        <v>170.96</v>
      </c>
      <c r="H37" s="379">
        <f t="shared" si="1"/>
        <v>322.38</v>
      </c>
      <c r="I37" s="367">
        <f t="shared" si="2"/>
        <v>518.61</v>
      </c>
      <c r="J37" s="367">
        <v>400.29</v>
      </c>
      <c r="K37" s="367">
        <f t="shared" si="3"/>
        <v>918.90000000000009</v>
      </c>
      <c r="L37" s="379">
        <f>ROUND('enrolment vs availed_PY'!Q34*2.69/100000,2)</f>
        <v>610.78</v>
      </c>
      <c r="M37" s="379">
        <f t="shared" si="4"/>
        <v>501.79</v>
      </c>
      <c r="N37" s="379">
        <f t="shared" si="5"/>
        <v>1112.57</v>
      </c>
      <c r="O37" s="379">
        <f t="shared" si="6"/>
        <v>59.25</v>
      </c>
      <c r="P37" s="379">
        <f t="shared" si="7"/>
        <v>69.45999999999998</v>
      </c>
      <c r="Q37" s="379">
        <f t="shared" si="8"/>
        <v>128.70999999999998</v>
      </c>
      <c r="R37" s="70"/>
      <c r="S37" s="70"/>
      <c r="V37" s="70"/>
    </row>
    <row r="38" spans="1:22" x14ac:dyDescent="0.2">
      <c r="A38" s="18">
        <v>25</v>
      </c>
      <c r="B38" s="361" t="s">
        <v>919</v>
      </c>
      <c r="C38" s="379">
        <f>ROUND(T5_PLAN_vs_PRFM!D36*T5_PLAN_vs_PRFM!E36*2.69/100000,2)</f>
        <v>352.87</v>
      </c>
      <c r="D38" s="379">
        <f>ROUND(T5_PLAN_vs_PRFM!D36*T5_PLAN_vs_PRFM!E36*2.21/100000,2)</f>
        <v>289.89999999999998</v>
      </c>
      <c r="E38" s="382">
        <f t="shared" si="0"/>
        <v>642.77</v>
      </c>
      <c r="F38" s="340">
        <v>79.739999999999995</v>
      </c>
      <c r="G38" s="340">
        <v>90.02</v>
      </c>
      <c r="H38" s="379">
        <f t="shared" si="1"/>
        <v>169.76</v>
      </c>
      <c r="I38" s="367">
        <f t="shared" si="2"/>
        <v>273.08999999999997</v>
      </c>
      <c r="J38" s="367">
        <v>191.71</v>
      </c>
      <c r="K38" s="367">
        <f t="shared" si="3"/>
        <v>464.79999999999995</v>
      </c>
      <c r="L38" s="379">
        <f>ROUND('enrolment vs availed_PY'!Q35*2.69/100000,2)</f>
        <v>292.52</v>
      </c>
      <c r="M38" s="379">
        <f t="shared" si="4"/>
        <v>240.32</v>
      </c>
      <c r="N38" s="379">
        <f t="shared" si="5"/>
        <v>532.83999999999992</v>
      </c>
      <c r="O38" s="379">
        <f t="shared" si="6"/>
        <v>60.31</v>
      </c>
      <c r="P38" s="379">
        <f t="shared" si="7"/>
        <v>41.410000000000025</v>
      </c>
      <c r="Q38" s="379">
        <f t="shared" si="8"/>
        <v>101.72000000000003</v>
      </c>
      <c r="R38" s="70"/>
      <c r="S38" s="70"/>
      <c r="V38" s="70"/>
    </row>
    <row r="39" spans="1:22" x14ac:dyDescent="0.2">
      <c r="A39" s="18">
        <v>26</v>
      </c>
      <c r="B39" s="361" t="s">
        <v>914</v>
      </c>
      <c r="C39" s="379">
        <f>ROUND(T5_PLAN_vs_PRFM!D37*T5_PLAN_vs_PRFM!E37*2.69/100000,2)</f>
        <v>159.26</v>
      </c>
      <c r="D39" s="379">
        <f>ROUND(T5_PLAN_vs_PRFM!D37*T5_PLAN_vs_PRFM!E37*2.21/100000,2)</f>
        <v>130.84</v>
      </c>
      <c r="E39" s="382">
        <f t="shared" si="0"/>
        <v>290.10000000000002</v>
      </c>
      <c r="F39" s="340">
        <v>35.99</v>
      </c>
      <c r="G39" s="340">
        <v>40.630000000000003</v>
      </c>
      <c r="H39" s="379">
        <f t="shared" si="1"/>
        <v>76.62</v>
      </c>
      <c r="I39" s="367">
        <f t="shared" si="2"/>
        <v>123.25</v>
      </c>
      <c r="J39" s="367">
        <v>102.37</v>
      </c>
      <c r="K39" s="367">
        <f t="shared" si="3"/>
        <v>225.62</v>
      </c>
      <c r="L39" s="379">
        <f>ROUND('enrolment vs availed_PY'!Q36*2.69/100000,2)</f>
        <v>156.19999999999999</v>
      </c>
      <c r="M39" s="379">
        <f t="shared" si="4"/>
        <v>128.33000000000001</v>
      </c>
      <c r="N39" s="379">
        <f t="shared" si="5"/>
        <v>284.52999999999997</v>
      </c>
      <c r="O39" s="379">
        <f t="shared" si="6"/>
        <v>3.0400000000000205</v>
      </c>
      <c r="P39" s="379">
        <f t="shared" si="7"/>
        <v>14.669999999999987</v>
      </c>
      <c r="Q39" s="379">
        <f t="shared" si="8"/>
        <v>17.710000000000008</v>
      </c>
      <c r="R39" s="70"/>
      <c r="S39" s="70"/>
      <c r="V39" s="70"/>
    </row>
    <row r="40" spans="1:22" ht="15" x14ac:dyDescent="0.2">
      <c r="A40" s="18">
        <v>27</v>
      </c>
      <c r="B40" s="362" t="s">
        <v>915</v>
      </c>
      <c r="C40" s="379">
        <f>ROUND(T5_PLAN_vs_PRFM!D38*T5_PLAN_vs_PRFM!E38*2.69/100000,2)</f>
        <v>373.32</v>
      </c>
      <c r="D40" s="379">
        <f>ROUND(T5_PLAN_vs_PRFM!D38*T5_PLAN_vs_PRFM!E38*2.21/100000,2)</f>
        <v>306.7</v>
      </c>
      <c r="E40" s="382">
        <f t="shared" si="0"/>
        <v>680.02</v>
      </c>
      <c r="F40" s="340">
        <v>84.34</v>
      </c>
      <c r="G40" s="340">
        <v>95.24</v>
      </c>
      <c r="H40" s="379">
        <f t="shared" si="1"/>
        <v>179.57999999999998</v>
      </c>
      <c r="I40" s="367">
        <f t="shared" si="2"/>
        <v>288.92</v>
      </c>
      <c r="J40" s="367">
        <v>204.52</v>
      </c>
      <c r="K40" s="379">
        <f t="shared" si="3"/>
        <v>493.44000000000005</v>
      </c>
      <c r="L40" s="379">
        <f>ROUND('enrolment vs availed_PY'!Q37*2.69/100000,2)</f>
        <v>312.07</v>
      </c>
      <c r="M40" s="379">
        <f t="shared" si="4"/>
        <v>256.38</v>
      </c>
      <c r="N40" s="379">
        <f t="shared" si="5"/>
        <v>568.45000000000005</v>
      </c>
      <c r="O40" s="379">
        <f t="shared" si="6"/>
        <v>61.19</v>
      </c>
      <c r="P40" s="379">
        <f t="shared" si="7"/>
        <v>43.379999999999995</v>
      </c>
      <c r="Q40" s="379">
        <f t="shared" si="8"/>
        <v>104.57</v>
      </c>
      <c r="R40" s="70"/>
      <c r="S40" s="70"/>
      <c r="V40" s="70"/>
    </row>
    <row r="41" spans="1:22" x14ac:dyDescent="0.2">
      <c r="A41" s="3" t="s">
        <v>18</v>
      </c>
      <c r="B41" s="19"/>
      <c r="C41" s="390">
        <f t="shared" ref="C41:Q41" si="9">SUM(C14:C40)</f>
        <v>10975.230000000001</v>
      </c>
      <c r="D41" s="390">
        <f t="shared" si="9"/>
        <v>9016.8100000000013</v>
      </c>
      <c r="E41" s="390">
        <f t="shared" si="9"/>
        <v>19992.04</v>
      </c>
      <c r="F41" s="390">
        <f t="shared" si="9"/>
        <v>2480.0500000000002</v>
      </c>
      <c r="G41" s="390">
        <f t="shared" si="9"/>
        <v>2800</v>
      </c>
      <c r="H41" s="390">
        <f t="shared" si="9"/>
        <v>5280.0499999999993</v>
      </c>
      <c r="I41" s="390">
        <f t="shared" si="9"/>
        <v>8493.9799999999977</v>
      </c>
      <c r="J41" s="390">
        <f t="shared" si="9"/>
        <v>6215.8200000000006</v>
      </c>
      <c r="K41" s="390">
        <f t="shared" si="9"/>
        <v>14709.800000000005</v>
      </c>
      <c r="L41" s="390">
        <f t="shared" si="9"/>
        <v>9484.239999999998</v>
      </c>
      <c r="M41" s="390">
        <f t="shared" si="9"/>
        <v>7791.8600000000006</v>
      </c>
      <c r="N41" s="390">
        <f t="shared" si="9"/>
        <v>17276.099999999999</v>
      </c>
      <c r="O41" s="390">
        <f t="shared" si="9"/>
        <v>1489.79</v>
      </c>
      <c r="P41" s="390">
        <f t="shared" si="9"/>
        <v>1223.96</v>
      </c>
      <c r="Q41" s="390">
        <f t="shared" si="9"/>
        <v>2713.7499999999995</v>
      </c>
    </row>
    <row r="42" spans="1:22" x14ac:dyDescent="0.2">
      <c r="A42" s="11"/>
      <c r="B42" s="31"/>
      <c r="C42" s="31"/>
      <c r="D42" s="3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22" ht="14.25" customHeight="1" x14ac:dyDescent="0.2">
      <c r="A43" s="960" t="s">
        <v>661</v>
      </c>
      <c r="B43" s="960"/>
      <c r="C43" s="960"/>
      <c r="D43" s="960"/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960"/>
      <c r="P43" s="960"/>
      <c r="Q43" s="960"/>
    </row>
    <row r="44" spans="1:22" ht="15.75" customHeight="1" x14ac:dyDescent="0.2">
      <c r="A44" s="3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753"/>
      <c r="Q44" s="42"/>
    </row>
    <row r="45" spans="1:22" s="569" customFormat="1" ht="15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P45" s="563"/>
      <c r="Q45" s="563"/>
    </row>
    <row r="46" spans="1:22" s="569" customFormat="1" ht="12.75" customHeight="1" x14ac:dyDescent="0.2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810" t="s">
        <v>13</v>
      </c>
      <c r="L46" s="810"/>
      <c r="M46" s="810"/>
      <c r="N46" s="810"/>
      <c r="O46" s="810"/>
      <c r="P46" s="563"/>
      <c r="Q46" s="563"/>
    </row>
    <row r="47" spans="1:22" s="569" customFormat="1" ht="12.75" customHeight="1" x14ac:dyDescent="0.2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810" t="s">
        <v>14</v>
      </c>
      <c r="L47" s="810"/>
      <c r="M47" s="810"/>
      <c r="N47" s="810"/>
      <c r="O47" s="810"/>
      <c r="P47" s="563"/>
      <c r="Q47" s="563"/>
    </row>
    <row r="48" spans="1:22" s="569" customForma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810" t="s">
        <v>918</v>
      </c>
      <c r="L48" s="810"/>
      <c r="M48" s="810"/>
      <c r="N48" s="810"/>
      <c r="O48" s="810"/>
      <c r="P48" s="36"/>
      <c r="Q48" s="36"/>
      <c r="R48" s="36"/>
    </row>
    <row r="49" spans="1:15" ht="15" x14ac:dyDescent="0.25">
      <c r="A49" s="492" t="s">
        <v>12</v>
      </c>
      <c r="K49" s="207" t="s">
        <v>82</v>
      </c>
      <c r="L49" s="207"/>
      <c r="M49" s="207"/>
      <c r="N49" s="207"/>
      <c r="O49" s="207"/>
    </row>
  </sheetData>
  <mergeCells count="16">
    <mergeCell ref="K46:O46"/>
    <mergeCell ref="K47:O47"/>
    <mergeCell ref="K48:O48"/>
    <mergeCell ref="P1:Q1"/>
    <mergeCell ref="A2:Q2"/>
    <mergeCell ref="A3:Q3"/>
    <mergeCell ref="N10:Q10"/>
    <mergeCell ref="A6:Q6"/>
    <mergeCell ref="O11:Q11"/>
    <mergeCell ref="L11:N11"/>
    <mergeCell ref="C11:E11"/>
    <mergeCell ref="F11:H11"/>
    <mergeCell ref="A43:Q43"/>
    <mergeCell ref="A11:A12"/>
    <mergeCell ref="B11:B12"/>
    <mergeCell ref="I11:K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U48"/>
  <sheetViews>
    <sheetView topLeftCell="C22" zoomScaleSheetLayoutView="90" workbookViewId="0">
      <selection activeCell="N9" sqref="N9:Q9"/>
    </sheetView>
  </sheetViews>
  <sheetFormatPr defaultRowHeight="12.75" x14ac:dyDescent="0.2"/>
  <cols>
    <col min="1" max="1" width="7.42578125" style="15" customWidth="1"/>
    <col min="2" max="2" width="15.85546875" style="15" customWidth="1"/>
    <col min="3" max="3" width="8.7109375" style="15" customWidth="1"/>
    <col min="4" max="4" width="8.140625" style="15" customWidth="1"/>
    <col min="5" max="5" width="10" style="15" customWidth="1"/>
    <col min="6" max="7" width="7.28515625" style="15" customWidth="1"/>
    <col min="8" max="8" width="8.140625" style="15" customWidth="1"/>
    <col min="9" max="9" width="9.28515625" style="15" customWidth="1"/>
    <col min="10" max="10" width="10" style="15" customWidth="1"/>
    <col min="11" max="11" width="8.42578125" style="15" customWidth="1"/>
    <col min="12" max="12" width="8.7109375" style="15" customWidth="1"/>
    <col min="13" max="13" width="7.85546875" style="15" customWidth="1"/>
    <col min="14" max="14" width="9" style="15" customWidth="1"/>
    <col min="15" max="15" width="11.28515625" style="15" customWidth="1"/>
    <col min="16" max="16" width="11.85546875" style="15" customWidth="1"/>
    <col min="17" max="17" width="11.7109375" style="15" customWidth="1"/>
    <col min="18" max="16384" width="9.140625" style="15"/>
  </cols>
  <sheetData>
    <row r="1" spans="1:21" customFormat="1" ht="15" x14ac:dyDescent="0.2">
      <c r="H1" s="36"/>
      <c r="I1" s="36"/>
      <c r="J1" s="36"/>
      <c r="K1" s="36"/>
      <c r="L1" s="36"/>
      <c r="M1" s="36"/>
      <c r="N1" s="36"/>
      <c r="O1" s="36"/>
      <c r="P1" s="926" t="s">
        <v>89</v>
      </c>
      <c r="Q1" s="926"/>
      <c r="R1" s="931"/>
      <c r="S1" s="15"/>
      <c r="T1" s="43"/>
      <c r="U1" s="43"/>
    </row>
    <row r="2" spans="1:21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1"/>
      <c r="S2" s="45"/>
      <c r="T2" s="45"/>
      <c r="U2" s="45"/>
    </row>
    <row r="3" spans="1:21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931"/>
      <c r="S3" s="44"/>
      <c r="T3" s="44"/>
      <c r="U3" s="44"/>
    </row>
    <row r="4" spans="1:21" customFormat="1" ht="10.5" customHeight="1" x14ac:dyDescent="0.2">
      <c r="R4" s="931"/>
    </row>
    <row r="5" spans="1:21" ht="9" customHeight="1" x14ac:dyDescent="0.2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  <c r="R5" s="931"/>
    </row>
    <row r="6" spans="1:21" ht="18.600000000000001" customHeight="1" x14ac:dyDescent="0.25">
      <c r="B6" s="109"/>
      <c r="C6" s="109"/>
      <c r="D6" s="856" t="s">
        <v>808</v>
      </c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R6" s="931"/>
    </row>
    <row r="7" spans="1:21" ht="5.45" customHeight="1" x14ac:dyDescent="0.2">
      <c r="R7" s="931"/>
    </row>
    <row r="8" spans="1:21" ht="15" x14ac:dyDescent="0.3">
      <c r="A8" s="197" t="s">
        <v>917</v>
      </c>
      <c r="B8" s="197" t="s">
        <v>916</v>
      </c>
      <c r="Q8" s="33" t="s">
        <v>21</v>
      </c>
      <c r="R8" s="931"/>
    </row>
    <row r="9" spans="1:21" ht="15.75" x14ac:dyDescent="0.25">
      <c r="A9" s="13"/>
      <c r="N9" s="925" t="s">
        <v>1186</v>
      </c>
      <c r="O9" s="925"/>
      <c r="P9" s="925"/>
      <c r="Q9" s="925"/>
      <c r="R9" s="931"/>
      <c r="S9" s="22"/>
    </row>
    <row r="10" spans="1:21" ht="37.15" customHeight="1" x14ac:dyDescent="0.2">
      <c r="A10" s="929" t="s">
        <v>2</v>
      </c>
      <c r="B10" s="929" t="s">
        <v>3</v>
      </c>
      <c r="C10" s="824" t="s">
        <v>846</v>
      </c>
      <c r="D10" s="824"/>
      <c r="E10" s="824"/>
      <c r="F10" s="824" t="s">
        <v>820</v>
      </c>
      <c r="G10" s="824"/>
      <c r="H10" s="824"/>
      <c r="I10" s="879" t="s">
        <v>368</v>
      </c>
      <c r="J10" s="880"/>
      <c r="K10" s="959"/>
      <c r="L10" s="879" t="s">
        <v>90</v>
      </c>
      <c r="M10" s="880"/>
      <c r="N10" s="959"/>
      <c r="O10" s="956" t="s">
        <v>845</v>
      </c>
      <c r="P10" s="957"/>
      <c r="Q10" s="958"/>
      <c r="R10" s="931"/>
    </row>
    <row r="11" spans="1:21" ht="39.75" customHeight="1" x14ac:dyDescent="0.2">
      <c r="A11" s="930"/>
      <c r="B11" s="930"/>
      <c r="C11" s="5" t="s">
        <v>109</v>
      </c>
      <c r="D11" s="5" t="s">
        <v>658</v>
      </c>
      <c r="E11" s="39" t="s">
        <v>18</v>
      </c>
      <c r="F11" s="5" t="s">
        <v>109</v>
      </c>
      <c r="G11" s="5" t="s">
        <v>659</v>
      </c>
      <c r="H11" s="39" t="s">
        <v>18</v>
      </c>
      <c r="I11" s="5" t="s">
        <v>109</v>
      </c>
      <c r="J11" s="5" t="s">
        <v>659</v>
      </c>
      <c r="K11" s="39" t="s">
        <v>18</v>
      </c>
      <c r="L11" s="5" t="s">
        <v>109</v>
      </c>
      <c r="M11" s="5" t="s">
        <v>659</v>
      </c>
      <c r="N11" s="39" t="s">
        <v>18</v>
      </c>
      <c r="O11" s="5" t="s">
        <v>923</v>
      </c>
      <c r="P11" s="5" t="s">
        <v>660</v>
      </c>
      <c r="Q11" s="5" t="s">
        <v>110</v>
      </c>
    </row>
    <row r="12" spans="1:21" s="70" customFormat="1" x14ac:dyDescent="0.2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</row>
    <row r="13" spans="1:21" s="70" customFormat="1" x14ac:dyDescent="0.2">
      <c r="A13" s="18">
        <v>1</v>
      </c>
      <c r="B13" s="361" t="s">
        <v>890</v>
      </c>
      <c r="C13" s="367">
        <f>ROUND('T5A_PLAN_vs_PRFM '!F12*4.03/100000,2)</f>
        <v>320.19</v>
      </c>
      <c r="D13" s="367">
        <f>ROUND(C13/4.03*2.68,2)</f>
        <v>212.93</v>
      </c>
      <c r="E13" s="367">
        <f>SUM(C13:D13)</f>
        <v>533.12</v>
      </c>
      <c r="F13" s="379">
        <v>72.37</v>
      </c>
      <c r="G13" s="379">
        <v>82.1</v>
      </c>
      <c r="H13" s="379">
        <f>SUM(F13:G13)</f>
        <v>154.47</v>
      </c>
      <c r="I13" s="379">
        <v>247.86</v>
      </c>
      <c r="J13" s="379">
        <v>130.86000000000001</v>
      </c>
      <c r="K13" s="379">
        <f>SUM(I13:J13)</f>
        <v>378.72</v>
      </c>
      <c r="L13" s="144">
        <f>ROUND('enrolment vs availed_UPY'!Q11*4.03/100000,2)</f>
        <v>280.99</v>
      </c>
      <c r="M13" s="144">
        <f>ROUND(L13/4.03*2.68,2)</f>
        <v>186.86</v>
      </c>
      <c r="N13" s="144">
        <f>SUM(L13:M13)</f>
        <v>467.85</v>
      </c>
      <c r="O13" s="379">
        <f>F13+I13-L13</f>
        <v>39.240000000000009</v>
      </c>
      <c r="P13" s="379">
        <f>G13+J13-M13</f>
        <v>26.099999999999994</v>
      </c>
      <c r="Q13" s="379">
        <f>SUM(O13:P13)</f>
        <v>65.34</v>
      </c>
      <c r="S13" s="389"/>
    </row>
    <row r="14" spans="1:21" s="70" customFormat="1" x14ac:dyDescent="0.2">
      <c r="A14" s="18">
        <v>2</v>
      </c>
      <c r="B14" s="361" t="s">
        <v>891</v>
      </c>
      <c r="C14" s="367">
        <f>ROUND('T5A_PLAN_vs_PRFM '!F13*4.03/100000,2)</f>
        <v>682.08</v>
      </c>
      <c r="D14" s="367">
        <f t="shared" ref="D14:D39" si="0">ROUND(C14/4.03*2.68,2)</f>
        <v>453.59</v>
      </c>
      <c r="E14" s="367">
        <f t="shared" ref="E14:E39" si="1">SUM(C14:D14)</f>
        <v>1135.67</v>
      </c>
      <c r="F14" s="379">
        <v>154.16</v>
      </c>
      <c r="G14" s="379">
        <v>174.89</v>
      </c>
      <c r="H14" s="379">
        <f t="shared" ref="H14:H39" si="2">SUM(F14:G14)</f>
        <v>329.04999999999995</v>
      </c>
      <c r="I14" s="379">
        <v>527.99</v>
      </c>
      <c r="J14" s="379">
        <v>278.75</v>
      </c>
      <c r="K14" s="379">
        <f t="shared" ref="K14:K39" si="3">SUM(I14:J14)</f>
        <v>806.74</v>
      </c>
      <c r="L14" s="144">
        <f>ROUND('enrolment vs availed_UPY'!Q12*4.03/100000,2)</f>
        <v>535.38</v>
      </c>
      <c r="M14" s="144">
        <f t="shared" ref="M14:M39" si="4">ROUND(L14/4.03*2.68,2)</f>
        <v>356.03</v>
      </c>
      <c r="N14" s="144">
        <f t="shared" ref="N14:N39" si="5">SUM(L14:M14)</f>
        <v>891.41</v>
      </c>
      <c r="O14" s="379">
        <f t="shared" ref="O14:O39" si="6">F14+I14-L14</f>
        <v>146.76999999999998</v>
      </c>
      <c r="P14" s="379">
        <f t="shared" ref="P14:P39" si="7">G14+J14-M14</f>
        <v>97.610000000000014</v>
      </c>
      <c r="Q14" s="379">
        <f t="shared" ref="Q14:Q39" si="8">SUM(O14:P14)</f>
        <v>244.38</v>
      </c>
      <c r="S14" s="389"/>
    </row>
    <row r="15" spans="1:21" s="70" customFormat="1" x14ac:dyDescent="0.2">
      <c r="A15" s="18">
        <v>3</v>
      </c>
      <c r="B15" s="361" t="s">
        <v>892</v>
      </c>
      <c r="C15" s="367">
        <f>ROUND('T5A_PLAN_vs_PRFM '!F14*4.03/100000,2)</f>
        <v>373.01</v>
      </c>
      <c r="D15" s="367">
        <f t="shared" si="0"/>
        <v>248.06</v>
      </c>
      <c r="E15" s="367">
        <f t="shared" si="1"/>
        <v>621.06999999999994</v>
      </c>
      <c r="F15" s="379">
        <v>84.31</v>
      </c>
      <c r="G15" s="379">
        <v>95.64</v>
      </c>
      <c r="H15" s="379">
        <f t="shared" si="2"/>
        <v>179.95</v>
      </c>
      <c r="I15" s="379">
        <v>288.74</v>
      </c>
      <c r="J15" s="379">
        <v>152.44</v>
      </c>
      <c r="K15" s="379">
        <f t="shared" si="3"/>
        <v>441.18</v>
      </c>
      <c r="L15" s="144">
        <f>ROUND('enrolment vs availed_UPY'!Q13*4.03/100000,2)</f>
        <v>290.94</v>
      </c>
      <c r="M15" s="144">
        <f t="shared" si="4"/>
        <v>193.48</v>
      </c>
      <c r="N15" s="144">
        <f t="shared" si="5"/>
        <v>484.41999999999996</v>
      </c>
      <c r="O15" s="379">
        <f t="shared" si="6"/>
        <v>82.110000000000014</v>
      </c>
      <c r="P15" s="379">
        <f t="shared" si="7"/>
        <v>54.599999999999994</v>
      </c>
      <c r="Q15" s="379">
        <f t="shared" si="8"/>
        <v>136.71</v>
      </c>
      <c r="S15" s="389"/>
    </row>
    <row r="16" spans="1:21" s="70" customFormat="1" x14ac:dyDescent="0.2">
      <c r="A16" s="18">
        <v>4</v>
      </c>
      <c r="B16" s="361" t="s">
        <v>893</v>
      </c>
      <c r="C16" s="367">
        <f>ROUND('T5A_PLAN_vs_PRFM '!F15*4.03/100000,2)</f>
        <v>342.79</v>
      </c>
      <c r="D16" s="367">
        <f t="shared" si="0"/>
        <v>227.96</v>
      </c>
      <c r="E16" s="367">
        <f t="shared" si="1"/>
        <v>570.75</v>
      </c>
      <c r="F16" s="379">
        <v>77.48</v>
      </c>
      <c r="G16" s="379">
        <v>87.89</v>
      </c>
      <c r="H16" s="379">
        <f t="shared" si="2"/>
        <v>165.37</v>
      </c>
      <c r="I16" s="379">
        <v>265.35000000000002</v>
      </c>
      <c r="J16" s="379">
        <v>140.09</v>
      </c>
      <c r="K16" s="379">
        <f t="shared" si="3"/>
        <v>405.44000000000005</v>
      </c>
      <c r="L16" s="144">
        <f>ROUND('enrolment vs availed_UPY'!Q14*4.03/100000,2)</f>
        <v>268.66000000000003</v>
      </c>
      <c r="M16" s="144">
        <f t="shared" si="4"/>
        <v>178.66</v>
      </c>
      <c r="N16" s="144">
        <f t="shared" si="5"/>
        <v>447.32000000000005</v>
      </c>
      <c r="O16" s="379">
        <f t="shared" si="6"/>
        <v>74.170000000000016</v>
      </c>
      <c r="P16" s="379">
        <f t="shared" si="7"/>
        <v>49.320000000000022</v>
      </c>
      <c r="Q16" s="379">
        <f t="shared" si="8"/>
        <v>123.49000000000004</v>
      </c>
      <c r="S16" s="389"/>
    </row>
    <row r="17" spans="1:20" s="70" customFormat="1" x14ac:dyDescent="0.2">
      <c r="A17" s="18">
        <v>5</v>
      </c>
      <c r="B17" s="361" t="s">
        <v>894</v>
      </c>
      <c r="C17" s="367">
        <f>ROUND('T5A_PLAN_vs_PRFM '!F16*4.03/100000,2)</f>
        <v>435.55</v>
      </c>
      <c r="D17" s="367">
        <f t="shared" si="0"/>
        <v>289.64999999999998</v>
      </c>
      <c r="E17" s="367">
        <f t="shared" si="1"/>
        <v>725.2</v>
      </c>
      <c r="F17" s="379">
        <v>98.44</v>
      </c>
      <c r="G17" s="379">
        <v>111.68</v>
      </c>
      <c r="H17" s="379">
        <f t="shared" si="2"/>
        <v>210.12</v>
      </c>
      <c r="I17" s="379">
        <v>337.16</v>
      </c>
      <c r="J17" s="379">
        <v>178</v>
      </c>
      <c r="K17" s="379">
        <f t="shared" si="3"/>
        <v>515.16000000000008</v>
      </c>
      <c r="L17" s="144">
        <f>ROUND('enrolment vs availed_UPY'!Q15*4.03/100000,2)</f>
        <v>349.79</v>
      </c>
      <c r="M17" s="144">
        <f t="shared" si="4"/>
        <v>232.61</v>
      </c>
      <c r="N17" s="144">
        <f t="shared" si="5"/>
        <v>582.40000000000009</v>
      </c>
      <c r="O17" s="379">
        <f t="shared" si="6"/>
        <v>85.81</v>
      </c>
      <c r="P17" s="379">
        <f t="shared" si="7"/>
        <v>57.069999999999993</v>
      </c>
      <c r="Q17" s="379">
        <f t="shared" si="8"/>
        <v>142.88</v>
      </c>
      <c r="S17" s="389"/>
    </row>
    <row r="18" spans="1:20" s="70" customFormat="1" x14ac:dyDescent="0.2">
      <c r="A18" s="18">
        <v>6</v>
      </c>
      <c r="B18" s="361" t="s">
        <v>895</v>
      </c>
      <c r="C18" s="367">
        <f>ROUND('T5A_PLAN_vs_PRFM '!F17*4.03/100000,2)</f>
        <v>101.15</v>
      </c>
      <c r="D18" s="367">
        <f t="shared" si="0"/>
        <v>67.27</v>
      </c>
      <c r="E18" s="367">
        <f t="shared" si="1"/>
        <v>168.42000000000002</v>
      </c>
      <c r="F18" s="379">
        <v>22.86</v>
      </c>
      <c r="G18" s="379">
        <v>25.94</v>
      </c>
      <c r="H18" s="379">
        <f t="shared" si="2"/>
        <v>48.8</v>
      </c>
      <c r="I18" s="379">
        <v>78.3</v>
      </c>
      <c r="J18" s="379">
        <v>41.34</v>
      </c>
      <c r="K18" s="379">
        <f t="shared" si="3"/>
        <v>119.64</v>
      </c>
      <c r="L18" s="144">
        <f>ROUND('enrolment vs availed_UPY'!Q16*4.03/100000,2)</f>
        <v>93.6</v>
      </c>
      <c r="M18" s="144">
        <f t="shared" si="4"/>
        <v>62.25</v>
      </c>
      <c r="N18" s="144">
        <f t="shared" si="5"/>
        <v>155.85</v>
      </c>
      <c r="O18" s="379">
        <f t="shared" si="6"/>
        <v>7.5600000000000023</v>
      </c>
      <c r="P18" s="379">
        <f t="shared" si="7"/>
        <v>5.0300000000000011</v>
      </c>
      <c r="Q18" s="379">
        <f t="shared" si="8"/>
        <v>12.590000000000003</v>
      </c>
      <c r="S18" s="389"/>
    </row>
    <row r="19" spans="1:20" s="70" customFormat="1" x14ac:dyDescent="0.2">
      <c r="A19" s="18">
        <v>7</v>
      </c>
      <c r="B19" s="361" t="s">
        <v>896</v>
      </c>
      <c r="C19" s="367">
        <f>ROUND('T5A_PLAN_vs_PRFM '!F18*4.03/100000,2)</f>
        <v>892.74</v>
      </c>
      <c r="D19" s="367">
        <f t="shared" si="0"/>
        <v>593.67999999999995</v>
      </c>
      <c r="E19" s="367">
        <f t="shared" si="1"/>
        <v>1486.42</v>
      </c>
      <c r="F19" s="379">
        <v>201.78</v>
      </c>
      <c r="G19" s="379">
        <v>228.9</v>
      </c>
      <c r="H19" s="379">
        <f t="shared" si="2"/>
        <v>430.68</v>
      </c>
      <c r="I19" s="379">
        <v>691.06</v>
      </c>
      <c r="J19" s="379">
        <v>364.85</v>
      </c>
      <c r="K19" s="379">
        <f t="shared" si="3"/>
        <v>1055.9099999999999</v>
      </c>
      <c r="L19" s="144">
        <f>ROUND('enrolment vs availed_UPY'!Q17*4.03/100000,2)</f>
        <v>663.35</v>
      </c>
      <c r="M19" s="144">
        <f t="shared" si="4"/>
        <v>441.14</v>
      </c>
      <c r="N19" s="144">
        <f t="shared" si="5"/>
        <v>1104.49</v>
      </c>
      <c r="O19" s="379">
        <f t="shared" si="6"/>
        <v>229.4899999999999</v>
      </c>
      <c r="P19" s="379">
        <f t="shared" si="7"/>
        <v>152.61000000000001</v>
      </c>
      <c r="Q19" s="379">
        <f t="shared" si="8"/>
        <v>382.09999999999991</v>
      </c>
      <c r="S19" s="389"/>
    </row>
    <row r="20" spans="1:20" s="70" customFormat="1" x14ac:dyDescent="0.2">
      <c r="A20" s="18">
        <v>8</v>
      </c>
      <c r="B20" s="361" t="s">
        <v>897</v>
      </c>
      <c r="C20" s="367">
        <f>ROUND('T5A_PLAN_vs_PRFM '!F19*4.03/100000,2)</f>
        <v>97.78</v>
      </c>
      <c r="D20" s="367">
        <f t="shared" si="0"/>
        <v>65.02</v>
      </c>
      <c r="E20" s="367">
        <f t="shared" si="1"/>
        <v>162.80000000000001</v>
      </c>
      <c r="F20" s="379">
        <v>22.1</v>
      </c>
      <c r="G20" s="379">
        <v>25.07</v>
      </c>
      <c r="H20" s="379">
        <f t="shared" si="2"/>
        <v>47.17</v>
      </c>
      <c r="I20" s="379">
        <v>75.69</v>
      </c>
      <c r="J20" s="379">
        <v>39.96</v>
      </c>
      <c r="K20" s="379">
        <f t="shared" si="3"/>
        <v>115.65</v>
      </c>
      <c r="L20" s="144">
        <f>ROUND('enrolment vs availed_UPY'!Q18*4.03/100000,2)</f>
        <v>91.55</v>
      </c>
      <c r="M20" s="144">
        <f t="shared" si="4"/>
        <v>60.88</v>
      </c>
      <c r="N20" s="144">
        <f t="shared" si="5"/>
        <v>152.43</v>
      </c>
      <c r="O20" s="379">
        <f t="shared" si="6"/>
        <v>6.2399999999999949</v>
      </c>
      <c r="P20" s="379">
        <f t="shared" si="7"/>
        <v>4.1499999999999986</v>
      </c>
      <c r="Q20" s="379">
        <f t="shared" si="8"/>
        <v>10.389999999999993</v>
      </c>
      <c r="S20" s="389"/>
    </row>
    <row r="21" spans="1:20" s="70" customFormat="1" x14ac:dyDescent="0.2">
      <c r="A21" s="18">
        <v>9</v>
      </c>
      <c r="B21" s="361" t="s">
        <v>898</v>
      </c>
      <c r="C21" s="367">
        <f>ROUND('T5A_PLAN_vs_PRFM '!F20*4.03/100000,2)</f>
        <v>319.26</v>
      </c>
      <c r="D21" s="367">
        <f t="shared" si="0"/>
        <v>212.31</v>
      </c>
      <c r="E21" s="367">
        <f t="shared" si="1"/>
        <v>531.56999999999994</v>
      </c>
      <c r="F21" s="379">
        <v>72.16</v>
      </c>
      <c r="G21" s="379">
        <v>81.86</v>
      </c>
      <c r="H21" s="379">
        <f t="shared" si="2"/>
        <v>154.01999999999998</v>
      </c>
      <c r="I21" s="379">
        <v>247.14</v>
      </c>
      <c r="J21" s="379">
        <v>130.47999999999999</v>
      </c>
      <c r="K21" s="379">
        <f t="shared" si="3"/>
        <v>377.62</v>
      </c>
      <c r="L21" s="144">
        <f>ROUND('enrolment vs availed_UPY'!Q19*4.03/100000,2)</f>
        <v>268.55</v>
      </c>
      <c r="M21" s="144">
        <f t="shared" si="4"/>
        <v>178.59</v>
      </c>
      <c r="N21" s="144">
        <f t="shared" si="5"/>
        <v>447.14</v>
      </c>
      <c r="O21" s="379">
        <f t="shared" si="6"/>
        <v>50.749999999999943</v>
      </c>
      <c r="P21" s="379">
        <f t="shared" si="7"/>
        <v>33.749999999999972</v>
      </c>
      <c r="Q21" s="379">
        <f t="shared" si="8"/>
        <v>84.499999999999915</v>
      </c>
      <c r="S21" s="389"/>
    </row>
    <row r="22" spans="1:20" s="70" customFormat="1" x14ac:dyDescent="0.2">
      <c r="A22" s="18">
        <v>10</v>
      </c>
      <c r="B22" s="361" t="s">
        <v>899</v>
      </c>
      <c r="C22" s="367">
        <f>ROUND('T5A_PLAN_vs_PRFM '!F21*4.03/100000,2)</f>
        <v>420.55</v>
      </c>
      <c r="D22" s="367">
        <f t="shared" si="0"/>
        <v>279.67</v>
      </c>
      <c r="E22" s="367">
        <f t="shared" si="1"/>
        <v>700.22</v>
      </c>
      <c r="F22" s="379">
        <v>95.05</v>
      </c>
      <c r="G22" s="379">
        <v>107.83</v>
      </c>
      <c r="H22" s="379">
        <f t="shared" si="2"/>
        <v>202.88</v>
      </c>
      <c r="I22" s="379">
        <v>325.54000000000002</v>
      </c>
      <c r="J22" s="379">
        <v>171.87</v>
      </c>
      <c r="K22" s="379">
        <f t="shared" si="3"/>
        <v>497.41</v>
      </c>
      <c r="L22" s="144">
        <f>ROUND('enrolment vs availed_UPY'!Q20*4.03/100000,2)</f>
        <v>337.98</v>
      </c>
      <c r="M22" s="144">
        <f t="shared" si="4"/>
        <v>224.76</v>
      </c>
      <c r="N22" s="144">
        <f t="shared" si="5"/>
        <v>562.74</v>
      </c>
      <c r="O22" s="379">
        <f t="shared" si="6"/>
        <v>82.610000000000014</v>
      </c>
      <c r="P22" s="379">
        <f t="shared" si="7"/>
        <v>54.94</v>
      </c>
      <c r="Q22" s="379">
        <f t="shared" si="8"/>
        <v>137.55000000000001</v>
      </c>
      <c r="S22" s="389"/>
    </row>
    <row r="23" spans="1:20" s="70" customFormat="1" x14ac:dyDescent="0.2">
      <c r="A23" s="18">
        <v>11</v>
      </c>
      <c r="B23" s="361" t="s">
        <v>900</v>
      </c>
      <c r="C23" s="367">
        <f>ROUND('T5A_PLAN_vs_PRFM '!F22*4.03/100000,2)</f>
        <v>274.22000000000003</v>
      </c>
      <c r="D23" s="367">
        <f t="shared" si="0"/>
        <v>182.36</v>
      </c>
      <c r="E23" s="367">
        <f t="shared" si="1"/>
        <v>456.58000000000004</v>
      </c>
      <c r="F23" s="379">
        <v>61.98</v>
      </c>
      <c r="G23" s="379">
        <v>70.31</v>
      </c>
      <c r="H23" s="379">
        <f t="shared" si="2"/>
        <v>132.29</v>
      </c>
      <c r="I23" s="379">
        <v>212.27</v>
      </c>
      <c r="J23" s="379">
        <v>112.07</v>
      </c>
      <c r="K23" s="379">
        <f t="shared" si="3"/>
        <v>324.34000000000003</v>
      </c>
      <c r="L23" s="144">
        <f>ROUND('enrolment vs availed_UPY'!Q21*4.03/100000,2)</f>
        <v>229.38</v>
      </c>
      <c r="M23" s="144">
        <f t="shared" si="4"/>
        <v>152.54</v>
      </c>
      <c r="N23" s="144">
        <f t="shared" si="5"/>
        <v>381.91999999999996</v>
      </c>
      <c r="O23" s="379">
        <f t="shared" si="6"/>
        <v>44.870000000000005</v>
      </c>
      <c r="P23" s="379">
        <f t="shared" si="7"/>
        <v>29.840000000000003</v>
      </c>
      <c r="Q23" s="379">
        <f t="shared" si="8"/>
        <v>74.710000000000008</v>
      </c>
      <c r="S23" s="389"/>
    </row>
    <row r="24" spans="1:20" x14ac:dyDescent="0.2">
      <c r="A24" s="18">
        <v>12</v>
      </c>
      <c r="B24" s="361" t="s">
        <v>901</v>
      </c>
      <c r="C24" s="367">
        <f>ROUND('T5A_PLAN_vs_PRFM '!F23*4.03/100000,2)</f>
        <v>709.73</v>
      </c>
      <c r="D24" s="367">
        <f t="shared" si="0"/>
        <v>471.98</v>
      </c>
      <c r="E24" s="367">
        <f t="shared" si="1"/>
        <v>1181.71</v>
      </c>
      <c r="F24" s="340">
        <v>160.41</v>
      </c>
      <c r="G24" s="340">
        <v>181.98</v>
      </c>
      <c r="H24" s="379">
        <f t="shared" si="2"/>
        <v>342.39</v>
      </c>
      <c r="I24" s="340">
        <v>549.4</v>
      </c>
      <c r="J24" s="379">
        <v>290.06</v>
      </c>
      <c r="K24" s="379">
        <f t="shared" si="3"/>
        <v>839.46</v>
      </c>
      <c r="L24" s="144">
        <f>ROUND('enrolment vs availed_UPY'!Q22*4.03/100000,2)</f>
        <v>495.79</v>
      </c>
      <c r="M24" s="144">
        <f t="shared" si="4"/>
        <v>329.71</v>
      </c>
      <c r="N24" s="144">
        <f t="shared" si="5"/>
        <v>825.5</v>
      </c>
      <c r="O24" s="379">
        <f t="shared" si="6"/>
        <v>214.01999999999992</v>
      </c>
      <c r="P24" s="379">
        <f t="shared" si="7"/>
        <v>142.32999999999998</v>
      </c>
      <c r="Q24" s="379">
        <f t="shared" si="8"/>
        <v>356.34999999999991</v>
      </c>
      <c r="R24" s="70"/>
      <c r="S24" s="389"/>
      <c r="T24" s="70"/>
    </row>
    <row r="25" spans="1:20" x14ac:dyDescent="0.2">
      <c r="A25" s="18">
        <v>13</v>
      </c>
      <c r="B25" s="361" t="s">
        <v>902</v>
      </c>
      <c r="C25" s="367">
        <f>ROUND('T5A_PLAN_vs_PRFM '!F24*4.03/100000,2)</f>
        <v>346.06</v>
      </c>
      <c r="D25" s="367">
        <f t="shared" si="0"/>
        <v>230.13</v>
      </c>
      <c r="E25" s="367">
        <f t="shared" si="1"/>
        <v>576.19000000000005</v>
      </c>
      <c r="F25" s="340">
        <v>78.22</v>
      </c>
      <c r="G25" s="340">
        <v>88.73</v>
      </c>
      <c r="H25" s="379">
        <f t="shared" si="2"/>
        <v>166.95</v>
      </c>
      <c r="I25" s="340">
        <v>267.88</v>
      </c>
      <c r="J25" s="379">
        <v>141.43</v>
      </c>
      <c r="K25" s="379">
        <f t="shared" si="3"/>
        <v>409.31</v>
      </c>
      <c r="L25" s="144">
        <f>ROUND('enrolment vs availed_UPY'!Q23*4.03/100000,2)</f>
        <v>305.7</v>
      </c>
      <c r="M25" s="144">
        <f t="shared" si="4"/>
        <v>203.29</v>
      </c>
      <c r="N25" s="144">
        <f t="shared" si="5"/>
        <v>508.99</v>
      </c>
      <c r="O25" s="379">
        <f t="shared" si="6"/>
        <v>40.400000000000034</v>
      </c>
      <c r="P25" s="379">
        <f t="shared" si="7"/>
        <v>26.870000000000033</v>
      </c>
      <c r="Q25" s="379">
        <f t="shared" si="8"/>
        <v>67.270000000000067</v>
      </c>
      <c r="R25" s="70"/>
      <c r="S25" s="389"/>
      <c r="T25" s="70"/>
    </row>
    <row r="26" spans="1:20" x14ac:dyDescent="0.2">
      <c r="A26" s="18">
        <v>14</v>
      </c>
      <c r="B26" s="361" t="s">
        <v>903</v>
      </c>
      <c r="C26" s="367">
        <f>ROUND('T5A_PLAN_vs_PRFM '!F25*4.03/100000,2)</f>
        <v>344.77</v>
      </c>
      <c r="D26" s="367">
        <f t="shared" si="0"/>
        <v>229.28</v>
      </c>
      <c r="E26" s="367">
        <f t="shared" si="1"/>
        <v>574.04999999999995</v>
      </c>
      <c r="F26" s="340">
        <v>77.92</v>
      </c>
      <c r="G26" s="340">
        <v>88.4</v>
      </c>
      <c r="H26" s="379">
        <f t="shared" si="2"/>
        <v>166.32</v>
      </c>
      <c r="I26" s="340">
        <v>266.88</v>
      </c>
      <c r="J26" s="379">
        <v>140.9</v>
      </c>
      <c r="K26" s="379">
        <f t="shared" si="3"/>
        <v>407.78</v>
      </c>
      <c r="L26" s="144">
        <f>ROUND('enrolment vs availed_UPY'!Q24*4.03/100000,2)</f>
        <v>275.7</v>
      </c>
      <c r="M26" s="144">
        <f t="shared" si="4"/>
        <v>183.34</v>
      </c>
      <c r="N26" s="144">
        <f t="shared" si="5"/>
        <v>459.03999999999996</v>
      </c>
      <c r="O26" s="379">
        <f t="shared" si="6"/>
        <v>69.100000000000023</v>
      </c>
      <c r="P26" s="379">
        <f t="shared" si="7"/>
        <v>45.960000000000008</v>
      </c>
      <c r="Q26" s="379">
        <f t="shared" si="8"/>
        <v>115.06000000000003</v>
      </c>
      <c r="R26" s="70"/>
      <c r="S26" s="389"/>
      <c r="T26" s="70"/>
    </row>
    <row r="27" spans="1:20" x14ac:dyDescent="0.2">
      <c r="A27" s="18">
        <v>15</v>
      </c>
      <c r="B27" s="361" t="s">
        <v>904</v>
      </c>
      <c r="C27" s="367">
        <f>ROUND('T5A_PLAN_vs_PRFM '!F26*4.03/100000,2)</f>
        <v>440.31</v>
      </c>
      <c r="D27" s="367">
        <f t="shared" si="0"/>
        <v>292.81</v>
      </c>
      <c r="E27" s="367">
        <f t="shared" si="1"/>
        <v>733.12</v>
      </c>
      <c r="F27" s="340">
        <v>99.52</v>
      </c>
      <c r="G27" s="340">
        <v>112.9</v>
      </c>
      <c r="H27" s="379">
        <f t="shared" si="2"/>
        <v>212.42000000000002</v>
      </c>
      <c r="I27" s="340">
        <v>340.84</v>
      </c>
      <c r="J27" s="379">
        <v>179.95</v>
      </c>
      <c r="K27" s="379">
        <f t="shared" si="3"/>
        <v>520.79</v>
      </c>
      <c r="L27" s="144">
        <f>ROUND('enrolment vs availed_UPY'!Q25*4.03/100000,2)</f>
        <v>336.9</v>
      </c>
      <c r="M27" s="144">
        <f t="shared" si="4"/>
        <v>224.04</v>
      </c>
      <c r="N27" s="144">
        <f t="shared" si="5"/>
        <v>560.93999999999994</v>
      </c>
      <c r="O27" s="379">
        <f t="shared" si="6"/>
        <v>103.45999999999998</v>
      </c>
      <c r="P27" s="379">
        <f t="shared" si="7"/>
        <v>68.810000000000031</v>
      </c>
      <c r="Q27" s="379">
        <f t="shared" si="8"/>
        <v>172.27</v>
      </c>
      <c r="R27" s="70"/>
      <c r="S27" s="389"/>
      <c r="T27" s="70"/>
    </row>
    <row r="28" spans="1:20" x14ac:dyDescent="0.2">
      <c r="A28" s="18">
        <v>16</v>
      </c>
      <c r="B28" s="361" t="s">
        <v>905</v>
      </c>
      <c r="C28" s="367">
        <f>ROUND('T5A_PLAN_vs_PRFM '!F27*4.03/100000,2)</f>
        <v>281.86</v>
      </c>
      <c r="D28" s="367">
        <f t="shared" si="0"/>
        <v>187.44</v>
      </c>
      <c r="E28" s="367">
        <f t="shared" si="1"/>
        <v>469.3</v>
      </c>
      <c r="F28" s="340">
        <v>63.71</v>
      </c>
      <c r="G28" s="340">
        <v>72.27</v>
      </c>
      <c r="H28" s="379">
        <f t="shared" si="2"/>
        <v>135.97999999999999</v>
      </c>
      <c r="I28" s="340">
        <v>218.19</v>
      </c>
      <c r="J28" s="379">
        <v>115.19</v>
      </c>
      <c r="K28" s="379">
        <f t="shared" si="3"/>
        <v>333.38</v>
      </c>
      <c r="L28" s="144">
        <f>ROUND('enrolment vs availed_UPY'!Q26*4.03/100000,2)</f>
        <v>248.64</v>
      </c>
      <c r="M28" s="144">
        <f t="shared" si="4"/>
        <v>165.35</v>
      </c>
      <c r="N28" s="144">
        <f t="shared" si="5"/>
        <v>413.99</v>
      </c>
      <c r="O28" s="379">
        <f t="shared" si="6"/>
        <v>33.259999999999991</v>
      </c>
      <c r="P28" s="379">
        <f t="shared" si="7"/>
        <v>22.109999999999985</v>
      </c>
      <c r="Q28" s="379">
        <f t="shared" si="8"/>
        <v>55.369999999999976</v>
      </c>
      <c r="R28" s="70"/>
      <c r="S28" s="389"/>
      <c r="T28" s="70"/>
    </row>
    <row r="29" spans="1:20" x14ac:dyDescent="0.2">
      <c r="A29" s="18">
        <v>17</v>
      </c>
      <c r="B29" s="361" t="s">
        <v>906</v>
      </c>
      <c r="C29" s="367">
        <f>ROUND('T5A_PLAN_vs_PRFM '!F28*4.03/100000,2)</f>
        <v>447.11</v>
      </c>
      <c r="D29" s="367">
        <f t="shared" si="0"/>
        <v>297.33</v>
      </c>
      <c r="E29" s="367">
        <f t="shared" si="1"/>
        <v>744.44</v>
      </c>
      <c r="F29" s="340">
        <v>101.05</v>
      </c>
      <c r="G29" s="340">
        <v>114.64</v>
      </c>
      <c r="H29" s="379">
        <f t="shared" si="2"/>
        <v>215.69</v>
      </c>
      <c r="I29" s="340">
        <v>346.1</v>
      </c>
      <c r="J29" s="379">
        <v>182.72</v>
      </c>
      <c r="K29" s="379">
        <f t="shared" si="3"/>
        <v>528.82000000000005</v>
      </c>
      <c r="L29" s="144">
        <f>ROUND('enrolment vs availed_UPY'!Q27*4.03/100000,2)</f>
        <v>365.87</v>
      </c>
      <c r="M29" s="144">
        <f t="shared" si="4"/>
        <v>243.31</v>
      </c>
      <c r="N29" s="144">
        <f t="shared" si="5"/>
        <v>609.18000000000006</v>
      </c>
      <c r="O29" s="379">
        <f t="shared" si="6"/>
        <v>81.28000000000003</v>
      </c>
      <c r="P29" s="379">
        <f t="shared" si="7"/>
        <v>54.050000000000011</v>
      </c>
      <c r="Q29" s="379">
        <f t="shared" si="8"/>
        <v>135.33000000000004</v>
      </c>
      <c r="R29" s="70"/>
      <c r="S29" s="389"/>
      <c r="T29" s="70"/>
    </row>
    <row r="30" spans="1:20" x14ac:dyDescent="0.2">
      <c r="A30" s="18">
        <v>18</v>
      </c>
      <c r="B30" s="361" t="s">
        <v>907</v>
      </c>
      <c r="C30" s="367">
        <f>ROUND('T5A_PLAN_vs_PRFM '!F29*4.03/100000,2)</f>
        <v>265.76</v>
      </c>
      <c r="D30" s="367">
        <f t="shared" si="0"/>
        <v>176.73</v>
      </c>
      <c r="E30" s="367">
        <f t="shared" si="1"/>
        <v>442.49</v>
      </c>
      <c r="F30" s="340">
        <v>60.07</v>
      </c>
      <c r="G30" s="340">
        <v>68.14</v>
      </c>
      <c r="H30" s="379">
        <f t="shared" si="2"/>
        <v>128.21</v>
      </c>
      <c r="I30" s="340">
        <v>205.72</v>
      </c>
      <c r="J30" s="379">
        <v>108.61</v>
      </c>
      <c r="K30" s="379">
        <f t="shared" si="3"/>
        <v>314.33</v>
      </c>
      <c r="L30" s="144">
        <f>ROUND('enrolment vs availed_UPY'!Q28*4.03/100000,2)</f>
        <v>192.58</v>
      </c>
      <c r="M30" s="144">
        <f t="shared" si="4"/>
        <v>128.07</v>
      </c>
      <c r="N30" s="144">
        <f t="shared" si="5"/>
        <v>320.64999999999998</v>
      </c>
      <c r="O30" s="379">
        <f t="shared" si="6"/>
        <v>73.210000000000008</v>
      </c>
      <c r="P30" s="379">
        <f t="shared" si="7"/>
        <v>48.680000000000007</v>
      </c>
      <c r="Q30" s="379">
        <f t="shared" si="8"/>
        <v>121.89000000000001</v>
      </c>
      <c r="R30" s="70"/>
      <c r="S30" s="389"/>
      <c r="T30" s="70"/>
    </row>
    <row r="31" spans="1:20" x14ac:dyDescent="0.2">
      <c r="A31" s="18">
        <v>19</v>
      </c>
      <c r="B31" s="361" t="s">
        <v>908</v>
      </c>
      <c r="C31" s="367">
        <f>ROUND('T5A_PLAN_vs_PRFM '!F30*4.03/100000,2)</f>
        <v>515.87</v>
      </c>
      <c r="D31" s="367">
        <f t="shared" si="0"/>
        <v>343.06</v>
      </c>
      <c r="E31" s="367">
        <f t="shared" si="1"/>
        <v>858.93000000000006</v>
      </c>
      <c r="F31" s="340">
        <v>116.6</v>
      </c>
      <c r="G31" s="340">
        <v>132.27000000000001</v>
      </c>
      <c r="H31" s="379">
        <f t="shared" si="2"/>
        <v>248.87</v>
      </c>
      <c r="I31" s="340">
        <v>399.33</v>
      </c>
      <c r="J31" s="379">
        <v>210.83</v>
      </c>
      <c r="K31" s="379">
        <f t="shared" si="3"/>
        <v>610.16</v>
      </c>
      <c r="L31" s="144">
        <f>ROUND('enrolment vs availed_UPY'!Q29*4.03/100000,2)</f>
        <v>410.37</v>
      </c>
      <c r="M31" s="144">
        <f t="shared" si="4"/>
        <v>272.89999999999998</v>
      </c>
      <c r="N31" s="144">
        <f t="shared" si="5"/>
        <v>683.27</v>
      </c>
      <c r="O31" s="379">
        <f t="shared" si="6"/>
        <v>105.55999999999995</v>
      </c>
      <c r="P31" s="379">
        <f t="shared" si="7"/>
        <v>70.200000000000045</v>
      </c>
      <c r="Q31" s="379">
        <f t="shared" si="8"/>
        <v>175.76</v>
      </c>
      <c r="R31" s="70"/>
      <c r="S31" s="389"/>
      <c r="T31" s="70"/>
    </row>
    <row r="32" spans="1:20" x14ac:dyDescent="0.2">
      <c r="A32" s="18">
        <v>20</v>
      </c>
      <c r="B32" s="361" t="s">
        <v>909</v>
      </c>
      <c r="C32" s="367">
        <f>ROUND('T5A_PLAN_vs_PRFM '!F31*4.03/100000,2)</f>
        <v>352.41</v>
      </c>
      <c r="D32" s="367">
        <f t="shared" si="0"/>
        <v>234.36</v>
      </c>
      <c r="E32" s="367">
        <f t="shared" si="1"/>
        <v>586.77</v>
      </c>
      <c r="F32" s="340">
        <v>79.650000000000006</v>
      </c>
      <c r="G32" s="340">
        <v>90.36</v>
      </c>
      <c r="H32" s="379">
        <f t="shared" si="2"/>
        <v>170.01</v>
      </c>
      <c r="I32" s="340">
        <v>272.8</v>
      </c>
      <c r="J32" s="379">
        <v>144.02000000000001</v>
      </c>
      <c r="K32" s="379">
        <f t="shared" si="3"/>
        <v>416.82000000000005</v>
      </c>
      <c r="L32" s="144">
        <f>ROUND('enrolment vs availed_UPY'!Q30*4.03/100000,2)</f>
        <v>281.87</v>
      </c>
      <c r="M32" s="144">
        <f t="shared" si="4"/>
        <v>187.45</v>
      </c>
      <c r="N32" s="144">
        <f t="shared" si="5"/>
        <v>469.32</v>
      </c>
      <c r="O32" s="379">
        <f t="shared" si="6"/>
        <v>70.580000000000041</v>
      </c>
      <c r="P32" s="379">
        <f t="shared" si="7"/>
        <v>46.930000000000007</v>
      </c>
      <c r="Q32" s="379">
        <f t="shared" si="8"/>
        <v>117.51000000000005</v>
      </c>
      <c r="R32" s="70"/>
      <c r="S32" s="389"/>
      <c r="T32" s="70"/>
    </row>
    <row r="33" spans="1:20" x14ac:dyDescent="0.2">
      <c r="A33" s="18">
        <v>21</v>
      </c>
      <c r="B33" s="361" t="s">
        <v>910</v>
      </c>
      <c r="C33" s="367">
        <f>ROUND('T5A_PLAN_vs_PRFM '!F32*4.03/100000,2)</f>
        <v>62.39</v>
      </c>
      <c r="D33" s="367">
        <f t="shared" si="0"/>
        <v>41.49</v>
      </c>
      <c r="E33" s="367">
        <f t="shared" si="1"/>
        <v>103.88</v>
      </c>
      <c r="F33" s="340">
        <v>14.1</v>
      </c>
      <c r="G33" s="340">
        <v>16</v>
      </c>
      <c r="H33" s="379">
        <f t="shared" si="2"/>
        <v>30.1</v>
      </c>
      <c r="I33" s="340">
        <v>48.3</v>
      </c>
      <c r="J33" s="379">
        <v>25.5</v>
      </c>
      <c r="K33" s="379">
        <f t="shared" si="3"/>
        <v>73.8</v>
      </c>
      <c r="L33" s="144">
        <f>ROUND('enrolment vs availed_UPY'!Q31*4.03/100000,2)</f>
        <v>56.99</v>
      </c>
      <c r="M33" s="144">
        <f t="shared" si="4"/>
        <v>37.9</v>
      </c>
      <c r="N33" s="144">
        <f t="shared" si="5"/>
        <v>94.89</v>
      </c>
      <c r="O33" s="379">
        <f t="shared" si="6"/>
        <v>5.4099999999999966</v>
      </c>
      <c r="P33" s="379">
        <f t="shared" si="7"/>
        <v>3.6000000000000014</v>
      </c>
      <c r="Q33" s="379">
        <f t="shared" si="8"/>
        <v>9.009999999999998</v>
      </c>
      <c r="R33" s="70"/>
      <c r="S33" s="389"/>
      <c r="T33" s="70"/>
    </row>
    <row r="34" spans="1:20" x14ac:dyDescent="0.2">
      <c r="A34" s="18">
        <v>22</v>
      </c>
      <c r="B34" s="361" t="s">
        <v>911</v>
      </c>
      <c r="C34" s="367">
        <f>ROUND('T5A_PLAN_vs_PRFM '!F33*4.03/100000,2)</f>
        <v>535.30999999999995</v>
      </c>
      <c r="D34" s="367">
        <f t="shared" si="0"/>
        <v>355.99</v>
      </c>
      <c r="E34" s="367">
        <f t="shared" si="1"/>
        <v>891.3</v>
      </c>
      <c r="F34" s="340">
        <v>120.99</v>
      </c>
      <c r="G34" s="340">
        <v>137.25</v>
      </c>
      <c r="H34" s="379">
        <f t="shared" si="2"/>
        <v>258.24</v>
      </c>
      <c r="I34" s="340">
        <v>414.38</v>
      </c>
      <c r="J34" s="379">
        <v>218.77</v>
      </c>
      <c r="K34" s="379">
        <f t="shared" si="3"/>
        <v>633.15</v>
      </c>
      <c r="L34" s="144">
        <f>ROUND('enrolment vs availed_UPY'!Q32*4.03/100000,2)</f>
        <v>415.63</v>
      </c>
      <c r="M34" s="144">
        <f t="shared" si="4"/>
        <v>276.39999999999998</v>
      </c>
      <c r="N34" s="144">
        <f t="shared" si="5"/>
        <v>692.03</v>
      </c>
      <c r="O34" s="379">
        <f t="shared" si="6"/>
        <v>119.74000000000001</v>
      </c>
      <c r="P34" s="379">
        <f t="shared" si="7"/>
        <v>79.62</v>
      </c>
      <c r="Q34" s="379">
        <f t="shared" si="8"/>
        <v>199.36</v>
      </c>
      <c r="R34" s="70"/>
      <c r="S34" s="389"/>
      <c r="T34" s="70"/>
    </row>
    <row r="35" spans="1:20" x14ac:dyDescent="0.2">
      <c r="A35" s="18">
        <v>23</v>
      </c>
      <c r="B35" s="361" t="s">
        <v>912</v>
      </c>
      <c r="C35" s="367">
        <f>ROUND('T5A_PLAN_vs_PRFM '!F34*4.03/100000,2)</f>
        <v>663.48</v>
      </c>
      <c r="D35" s="367">
        <f t="shared" si="0"/>
        <v>441.22</v>
      </c>
      <c r="E35" s="367">
        <f t="shared" si="1"/>
        <v>1104.7</v>
      </c>
      <c r="F35" s="340">
        <v>149.96</v>
      </c>
      <c r="G35" s="340">
        <v>170.12</v>
      </c>
      <c r="H35" s="379">
        <f t="shared" si="2"/>
        <v>320.08000000000004</v>
      </c>
      <c r="I35" s="340">
        <v>513.59</v>
      </c>
      <c r="J35" s="379">
        <v>271.14999999999998</v>
      </c>
      <c r="K35" s="379">
        <f t="shared" si="3"/>
        <v>784.74</v>
      </c>
      <c r="L35" s="144">
        <f>ROUND('enrolment vs availed_UPY'!Q33*4.03/100000,2)</f>
        <v>547.27</v>
      </c>
      <c r="M35" s="144">
        <f t="shared" si="4"/>
        <v>363.94</v>
      </c>
      <c r="N35" s="144">
        <f t="shared" si="5"/>
        <v>911.21</v>
      </c>
      <c r="O35" s="379">
        <f t="shared" si="6"/>
        <v>116.28000000000009</v>
      </c>
      <c r="P35" s="379">
        <f t="shared" si="7"/>
        <v>77.329999999999984</v>
      </c>
      <c r="Q35" s="379">
        <f t="shared" si="8"/>
        <v>193.61000000000007</v>
      </c>
      <c r="R35" s="70"/>
      <c r="S35" s="389"/>
      <c r="T35" s="70"/>
    </row>
    <row r="36" spans="1:20" x14ac:dyDescent="0.2">
      <c r="A36" s="18">
        <v>24</v>
      </c>
      <c r="B36" s="361" t="s">
        <v>913</v>
      </c>
      <c r="C36" s="367">
        <f>ROUND('T5A_PLAN_vs_PRFM '!F35*4.03/100000,2)</f>
        <v>667.78</v>
      </c>
      <c r="D36" s="367">
        <f t="shared" si="0"/>
        <v>444.08</v>
      </c>
      <c r="E36" s="367">
        <f t="shared" si="1"/>
        <v>1111.8599999999999</v>
      </c>
      <c r="F36" s="340">
        <v>150.93</v>
      </c>
      <c r="G36" s="340">
        <v>171.22</v>
      </c>
      <c r="H36" s="379">
        <f t="shared" si="2"/>
        <v>322.14999999999998</v>
      </c>
      <c r="I36" s="340">
        <v>516.91999999999996</v>
      </c>
      <c r="J36" s="379">
        <v>272.91000000000003</v>
      </c>
      <c r="K36" s="379">
        <f t="shared" si="3"/>
        <v>789.82999999999993</v>
      </c>
      <c r="L36" s="144">
        <f>ROUND('enrolment vs availed_UPY'!Q34*4.03/100000,2)</f>
        <v>577.07000000000005</v>
      </c>
      <c r="M36" s="144">
        <f t="shared" si="4"/>
        <v>383.76</v>
      </c>
      <c r="N36" s="144">
        <f t="shared" si="5"/>
        <v>960.83</v>
      </c>
      <c r="O36" s="379">
        <f t="shared" si="6"/>
        <v>90.779999999999859</v>
      </c>
      <c r="P36" s="379">
        <f t="shared" si="7"/>
        <v>60.370000000000005</v>
      </c>
      <c r="Q36" s="379">
        <f t="shared" si="8"/>
        <v>151.14999999999986</v>
      </c>
      <c r="R36" s="70"/>
      <c r="S36" s="389"/>
      <c r="T36" s="70"/>
    </row>
    <row r="37" spans="1:20" x14ac:dyDescent="0.2">
      <c r="A37" s="18">
        <v>25</v>
      </c>
      <c r="B37" s="361" t="s">
        <v>919</v>
      </c>
      <c r="C37" s="367">
        <f>ROUND('T5A_PLAN_vs_PRFM '!F36*4.03/100000,2)</f>
        <v>325.89999999999998</v>
      </c>
      <c r="D37" s="367">
        <f t="shared" si="0"/>
        <v>216.73</v>
      </c>
      <c r="E37" s="367">
        <f t="shared" si="1"/>
        <v>542.63</v>
      </c>
      <c r="F37" s="340">
        <v>73.66</v>
      </c>
      <c r="G37" s="340">
        <v>83.56</v>
      </c>
      <c r="H37" s="379">
        <f t="shared" si="2"/>
        <v>157.22</v>
      </c>
      <c r="I37" s="340">
        <v>252.28</v>
      </c>
      <c r="J37" s="379">
        <v>133.19</v>
      </c>
      <c r="K37" s="379">
        <f t="shared" si="3"/>
        <v>385.47</v>
      </c>
      <c r="L37" s="144">
        <f>ROUND('enrolment vs availed_UPY'!Q35*4.03/100000,2)</f>
        <v>269.95</v>
      </c>
      <c r="M37" s="144">
        <f t="shared" si="4"/>
        <v>179.52</v>
      </c>
      <c r="N37" s="144">
        <f t="shared" si="5"/>
        <v>449.47</v>
      </c>
      <c r="O37" s="379">
        <f t="shared" si="6"/>
        <v>55.990000000000009</v>
      </c>
      <c r="P37" s="379">
        <f t="shared" si="7"/>
        <v>37.22999999999999</v>
      </c>
      <c r="Q37" s="379">
        <f t="shared" si="8"/>
        <v>93.22</v>
      </c>
      <c r="R37" s="70"/>
      <c r="S37" s="389"/>
      <c r="T37" s="70"/>
    </row>
    <row r="38" spans="1:20" x14ac:dyDescent="0.2">
      <c r="A38" s="18">
        <v>26</v>
      </c>
      <c r="B38" s="361" t="s">
        <v>914</v>
      </c>
      <c r="C38" s="367">
        <f>ROUND('T5A_PLAN_vs_PRFM '!F37*4.03/100000,2)</f>
        <v>76.02</v>
      </c>
      <c r="D38" s="367">
        <f t="shared" si="0"/>
        <v>50.55</v>
      </c>
      <c r="E38" s="367">
        <f t="shared" si="1"/>
        <v>126.57</v>
      </c>
      <c r="F38" s="340">
        <v>17.18</v>
      </c>
      <c r="G38" s="340">
        <v>19.489999999999998</v>
      </c>
      <c r="H38" s="379">
        <f t="shared" si="2"/>
        <v>36.67</v>
      </c>
      <c r="I38" s="340">
        <v>58.85</v>
      </c>
      <c r="J38" s="379">
        <v>31.07</v>
      </c>
      <c r="K38" s="379">
        <f t="shared" si="3"/>
        <v>89.92</v>
      </c>
      <c r="L38" s="144">
        <f>ROUND('enrolment vs availed_UPY'!Q36*4.03/100000,2)</f>
        <v>66.94</v>
      </c>
      <c r="M38" s="144">
        <f t="shared" si="4"/>
        <v>44.52</v>
      </c>
      <c r="N38" s="144">
        <f t="shared" si="5"/>
        <v>111.46000000000001</v>
      </c>
      <c r="O38" s="379">
        <f t="shared" si="6"/>
        <v>9.0900000000000034</v>
      </c>
      <c r="P38" s="379">
        <f t="shared" si="7"/>
        <v>6.0399999999999991</v>
      </c>
      <c r="Q38" s="379">
        <f t="shared" si="8"/>
        <v>15.130000000000003</v>
      </c>
      <c r="R38" s="70"/>
      <c r="S38" s="389"/>
      <c r="T38" s="70"/>
    </row>
    <row r="39" spans="1:20" ht="15" x14ac:dyDescent="0.2">
      <c r="A39" s="18">
        <v>27</v>
      </c>
      <c r="B39" s="362" t="s">
        <v>915</v>
      </c>
      <c r="C39" s="367">
        <f>ROUND('T5A_PLAN_vs_PRFM '!F38*4.03/100000,2)</f>
        <v>345.13</v>
      </c>
      <c r="D39" s="367">
        <f t="shared" si="0"/>
        <v>229.52</v>
      </c>
      <c r="E39" s="367">
        <f t="shared" si="1"/>
        <v>574.65</v>
      </c>
      <c r="F39" s="340">
        <v>78.010000000000005</v>
      </c>
      <c r="G39" s="340">
        <v>88.49</v>
      </c>
      <c r="H39" s="379">
        <f t="shared" si="2"/>
        <v>166.5</v>
      </c>
      <c r="I39" s="340">
        <v>267.17</v>
      </c>
      <c r="J39" s="379">
        <v>141.05000000000001</v>
      </c>
      <c r="K39" s="379">
        <f t="shared" si="3"/>
        <v>408.22</v>
      </c>
      <c r="L39" s="144">
        <f>ROUND('enrolment vs availed_UPY'!Q37*4.03/100000,2)</f>
        <v>279.81</v>
      </c>
      <c r="M39" s="144">
        <f t="shared" si="4"/>
        <v>186.08</v>
      </c>
      <c r="N39" s="144">
        <f t="shared" si="5"/>
        <v>465.89</v>
      </c>
      <c r="O39" s="379">
        <f t="shared" si="6"/>
        <v>65.37</v>
      </c>
      <c r="P39" s="379">
        <f t="shared" si="7"/>
        <v>43.460000000000008</v>
      </c>
      <c r="Q39" s="379">
        <f t="shared" si="8"/>
        <v>108.83000000000001</v>
      </c>
      <c r="R39" s="70"/>
      <c r="S39" s="389"/>
      <c r="T39" s="70"/>
    </row>
    <row r="40" spans="1:20" x14ac:dyDescent="0.2">
      <c r="A40" s="3" t="s">
        <v>18</v>
      </c>
      <c r="B40" s="19"/>
      <c r="C40" s="390">
        <f t="shared" ref="C40:Q40" si="9">SUM(C13:C39)</f>
        <v>10639.210000000001</v>
      </c>
      <c r="D40" s="390">
        <f t="shared" si="9"/>
        <v>7075.2</v>
      </c>
      <c r="E40" s="390">
        <f t="shared" si="9"/>
        <v>17714.41</v>
      </c>
      <c r="F40" s="390">
        <f t="shared" si="9"/>
        <v>2404.6699999999996</v>
      </c>
      <c r="G40" s="390">
        <f t="shared" si="9"/>
        <v>2727.9299999999994</v>
      </c>
      <c r="H40" s="390">
        <f t="shared" si="9"/>
        <v>5132.6000000000004</v>
      </c>
      <c r="I40" s="390">
        <f t="shared" si="9"/>
        <v>8235.7300000000014</v>
      </c>
      <c r="J40" s="390">
        <f t="shared" si="9"/>
        <v>4348.0599999999995</v>
      </c>
      <c r="K40" s="390">
        <f t="shared" si="9"/>
        <v>12583.789999999997</v>
      </c>
      <c r="L40" s="390">
        <f t="shared" si="9"/>
        <v>8537.2499999999982</v>
      </c>
      <c r="M40" s="390">
        <f t="shared" si="9"/>
        <v>5677.38</v>
      </c>
      <c r="N40" s="390">
        <f t="shared" si="9"/>
        <v>14214.629999999997</v>
      </c>
      <c r="O40" s="390">
        <f t="shared" si="9"/>
        <v>2103.1499999999996</v>
      </c>
      <c r="P40" s="390">
        <f t="shared" si="9"/>
        <v>1398.6100000000001</v>
      </c>
      <c r="Q40" s="390">
        <f t="shared" si="9"/>
        <v>3501.7599999999998</v>
      </c>
    </row>
    <row r="41" spans="1:20" x14ac:dyDescent="0.2">
      <c r="A41" s="11"/>
      <c r="B41" s="31"/>
      <c r="C41" s="31"/>
      <c r="D41" s="3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0" ht="14.25" customHeight="1" x14ac:dyDescent="0.2">
      <c r="A42" s="960" t="s">
        <v>662</v>
      </c>
      <c r="B42" s="960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</row>
    <row r="43" spans="1:20" ht="15.75" customHeight="1" x14ac:dyDescent="0.2">
      <c r="A43" s="35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20" s="569" customFormat="1" ht="15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P44" s="563"/>
      <c r="Q44" s="563"/>
    </row>
    <row r="45" spans="1:20" s="569" customFormat="1" ht="12.75" customHeight="1" x14ac:dyDescent="0.2">
      <c r="A45" s="563"/>
      <c r="B45" s="563"/>
      <c r="C45" s="563"/>
      <c r="D45" s="563"/>
      <c r="E45" s="563"/>
      <c r="F45" s="563"/>
      <c r="G45" s="563"/>
      <c r="H45" s="563"/>
      <c r="I45" s="563"/>
      <c r="J45" s="810" t="s">
        <v>13</v>
      </c>
      <c r="K45" s="810"/>
      <c r="L45" s="810"/>
      <c r="M45" s="810"/>
      <c r="N45" s="810"/>
      <c r="O45" s="563"/>
      <c r="P45" s="563"/>
      <c r="Q45" s="563"/>
    </row>
    <row r="46" spans="1:20" s="569" customFormat="1" ht="12.75" customHeight="1" x14ac:dyDescent="0.2">
      <c r="A46" s="563"/>
      <c r="B46" s="563"/>
      <c r="C46" s="563"/>
      <c r="D46" s="563"/>
      <c r="E46" s="563"/>
      <c r="F46" s="563"/>
      <c r="G46" s="563"/>
      <c r="H46" s="563"/>
      <c r="I46" s="563"/>
      <c r="J46" s="810" t="s">
        <v>14</v>
      </c>
      <c r="K46" s="810"/>
      <c r="L46" s="810"/>
      <c r="M46" s="810"/>
      <c r="N46" s="810"/>
      <c r="O46" s="563"/>
      <c r="P46" s="563"/>
      <c r="Q46" s="563"/>
    </row>
    <row r="47" spans="1:20" s="569" customForma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810" t="s">
        <v>918</v>
      </c>
      <c r="K47" s="810"/>
      <c r="L47" s="810"/>
      <c r="M47" s="810"/>
      <c r="N47" s="810"/>
      <c r="O47" s="36"/>
      <c r="P47" s="36"/>
      <c r="Q47" s="36"/>
      <c r="R47" s="36"/>
    </row>
    <row r="48" spans="1:20" ht="15" x14ac:dyDescent="0.25">
      <c r="A48" s="492" t="s">
        <v>12</v>
      </c>
      <c r="J48" s="207" t="s">
        <v>82</v>
      </c>
      <c r="K48" s="207"/>
      <c r="L48" s="207"/>
      <c r="M48" s="207"/>
      <c r="N48" s="207"/>
    </row>
  </sheetData>
  <mergeCells count="17">
    <mergeCell ref="J45:N45"/>
    <mergeCell ref="J46:N46"/>
    <mergeCell ref="J47:N47"/>
    <mergeCell ref="A42:Q42"/>
    <mergeCell ref="A10:A11"/>
    <mergeCell ref="B10:B11"/>
    <mergeCell ref="C10:E10"/>
    <mergeCell ref="F10:H10"/>
    <mergeCell ref="R1:R10"/>
    <mergeCell ref="I10:K10"/>
    <mergeCell ref="L10:N10"/>
    <mergeCell ref="O10:Q10"/>
    <mergeCell ref="P1:Q1"/>
    <mergeCell ref="A2:Q2"/>
    <mergeCell ref="A3:Q3"/>
    <mergeCell ref="N9:Q9"/>
    <mergeCell ref="D6:O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V50"/>
  <sheetViews>
    <sheetView topLeftCell="A25" zoomScale="80" zoomScaleNormal="80" zoomScaleSheetLayoutView="77" workbookViewId="0">
      <selection activeCell="E14" sqref="E14"/>
    </sheetView>
  </sheetViews>
  <sheetFormatPr defaultRowHeight="12.75" x14ac:dyDescent="0.2"/>
  <cols>
    <col min="2" max="2" width="17.85546875" customWidth="1"/>
    <col min="3" max="3" width="14.7109375" customWidth="1"/>
    <col min="4" max="4" width="10.5703125" customWidth="1"/>
    <col min="5" max="5" width="10.140625" customWidth="1"/>
    <col min="6" max="6" width="10" customWidth="1"/>
    <col min="7" max="7" width="9.42578125" customWidth="1"/>
    <col min="20" max="20" width="12" customWidth="1"/>
    <col min="21" max="21" width="11.140625" customWidth="1"/>
    <col min="22" max="22" width="11.85546875" customWidth="1"/>
  </cols>
  <sheetData>
    <row r="1" spans="1:22" ht="15" x14ac:dyDescent="0.2">
      <c r="Q1" s="965" t="s">
        <v>63</v>
      </c>
      <c r="R1" s="965"/>
      <c r="S1" s="965"/>
      <c r="T1" s="965"/>
      <c r="U1" s="965"/>
      <c r="V1" s="965"/>
    </row>
    <row r="3" spans="1:22" ht="15" x14ac:dyDescent="0.2">
      <c r="A3" s="932" t="s">
        <v>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</row>
    <row r="4" spans="1:22" ht="20.25" x14ac:dyDescent="0.3">
      <c r="A4" s="900" t="s">
        <v>738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44"/>
    </row>
    <row r="5" spans="1:22" ht="15.75" x14ac:dyDescent="0.25">
      <c r="A5" s="963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</row>
    <row r="6" spans="1:22" x14ac:dyDescent="0.2">
      <c r="A6" s="36"/>
      <c r="B6" s="36"/>
      <c r="C6" s="15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8" spans="1:22" ht="15.75" x14ac:dyDescent="0.25">
      <c r="A8" s="856" t="s">
        <v>809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</row>
    <row r="9" spans="1:22" ht="16.5" x14ac:dyDescent="0.3">
      <c r="A9" s="197" t="s">
        <v>917</v>
      </c>
      <c r="B9" s="197" t="s">
        <v>916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36"/>
      <c r="R9" s="36"/>
      <c r="S9" s="36"/>
      <c r="U9" s="964" t="s">
        <v>219</v>
      </c>
      <c r="V9" s="964"/>
    </row>
    <row r="10" spans="1:22" x14ac:dyDescent="0.2">
      <c r="P10" s="925" t="s">
        <v>1186</v>
      </c>
      <c r="Q10" s="925"/>
      <c r="R10" s="925"/>
      <c r="S10" s="925"/>
      <c r="T10" s="925"/>
      <c r="U10" s="925"/>
      <c r="V10" s="925"/>
    </row>
    <row r="11" spans="1:22" ht="28.5" customHeight="1" x14ac:dyDescent="0.2">
      <c r="A11" s="961" t="s">
        <v>22</v>
      </c>
      <c r="B11" s="929" t="s">
        <v>199</v>
      </c>
      <c r="C11" s="929" t="s">
        <v>367</v>
      </c>
      <c r="D11" s="929" t="s">
        <v>470</v>
      </c>
      <c r="E11" s="871" t="s">
        <v>848</v>
      </c>
      <c r="F11" s="871"/>
      <c r="G11" s="871"/>
      <c r="H11" s="828" t="s">
        <v>820</v>
      </c>
      <c r="I11" s="829"/>
      <c r="J11" s="830"/>
      <c r="K11" s="879" t="s">
        <v>369</v>
      </c>
      <c r="L11" s="880"/>
      <c r="M11" s="959"/>
      <c r="N11" s="966" t="s">
        <v>152</v>
      </c>
      <c r="O11" s="967"/>
      <c r="P11" s="968"/>
      <c r="Q11" s="824" t="s">
        <v>849</v>
      </c>
      <c r="R11" s="824"/>
      <c r="S11" s="824"/>
      <c r="T11" s="929" t="s">
        <v>240</v>
      </c>
      <c r="U11" s="929" t="s">
        <v>421</v>
      </c>
      <c r="V11" s="929" t="s">
        <v>370</v>
      </c>
    </row>
    <row r="12" spans="1:22" ht="54" customHeight="1" x14ac:dyDescent="0.2">
      <c r="A12" s="962"/>
      <c r="B12" s="930"/>
      <c r="C12" s="930"/>
      <c r="D12" s="930"/>
      <c r="E12" s="5" t="s">
        <v>174</v>
      </c>
      <c r="F12" s="5" t="s">
        <v>200</v>
      </c>
      <c r="G12" s="5" t="s">
        <v>18</v>
      </c>
      <c r="H12" s="5" t="s">
        <v>174</v>
      </c>
      <c r="I12" s="5" t="s">
        <v>200</v>
      </c>
      <c r="J12" s="5" t="s">
        <v>18</v>
      </c>
      <c r="K12" s="5" t="s">
        <v>174</v>
      </c>
      <c r="L12" s="5" t="s">
        <v>200</v>
      </c>
      <c r="M12" s="5" t="s">
        <v>18</v>
      </c>
      <c r="N12" s="5" t="s">
        <v>174</v>
      </c>
      <c r="O12" s="5" t="s">
        <v>200</v>
      </c>
      <c r="P12" s="5" t="s">
        <v>18</v>
      </c>
      <c r="Q12" s="5" t="s">
        <v>228</v>
      </c>
      <c r="R12" s="5" t="s">
        <v>211</v>
      </c>
      <c r="S12" s="5" t="s">
        <v>212</v>
      </c>
      <c r="T12" s="930"/>
      <c r="U12" s="930"/>
      <c r="V12" s="930"/>
    </row>
    <row r="13" spans="1:22" x14ac:dyDescent="0.2">
      <c r="A13" s="149">
        <v>1</v>
      </c>
      <c r="B13" s="103">
        <v>2</v>
      </c>
      <c r="C13" s="8">
        <v>3</v>
      </c>
      <c r="D13" s="103">
        <v>4</v>
      </c>
      <c r="E13" s="103">
        <v>5</v>
      </c>
      <c r="F13" s="8">
        <v>6</v>
      </c>
      <c r="G13" s="103">
        <v>7</v>
      </c>
      <c r="H13" s="103">
        <v>8</v>
      </c>
      <c r="I13" s="8">
        <v>9</v>
      </c>
      <c r="J13" s="103">
        <v>10</v>
      </c>
      <c r="K13" s="103">
        <v>11</v>
      </c>
      <c r="L13" s="8">
        <v>12</v>
      </c>
      <c r="M13" s="103">
        <v>13</v>
      </c>
      <c r="N13" s="103">
        <v>14</v>
      </c>
      <c r="O13" s="8">
        <v>15</v>
      </c>
      <c r="P13" s="103">
        <v>16</v>
      </c>
      <c r="Q13" s="103">
        <v>17</v>
      </c>
      <c r="R13" s="8">
        <v>18</v>
      </c>
      <c r="S13" s="103">
        <v>19</v>
      </c>
      <c r="T13" s="103">
        <v>20</v>
      </c>
      <c r="U13" s="8">
        <v>21</v>
      </c>
      <c r="V13" s="103">
        <v>22</v>
      </c>
    </row>
    <row r="14" spans="1:22" ht="14.25" x14ac:dyDescent="0.2">
      <c r="A14" s="18">
        <v>1</v>
      </c>
      <c r="B14" s="361" t="s">
        <v>890</v>
      </c>
      <c r="C14" s="345">
        <v>1754</v>
      </c>
      <c r="D14" s="392">
        <v>1553</v>
      </c>
      <c r="E14" s="393">
        <f>ROUND(C14*6000/100000,2)</f>
        <v>105.24</v>
      </c>
      <c r="F14" s="339">
        <f>E14</f>
        <v>105.24</v>
      </c>
      <c r="G14" s="393">
        <f>SUM(E14:F14)</f>
        <v>210.48</v>
      </c>
      <c r="H14" s="393">
        <f>ROUND(D14/57623*244.98,2)</f>
        <v>6.6</v>
      </c>
      <c r="I14" s="339">
        <f>H14</f>
        <v>6.6</v>
      </c>
      <c r="J14" s="393">
        <f>SUM(H14:I14)</f>
        <v>13.2</v>
      </c>
      <c r="K14" s="392">
        <f>ROUND(D14/57623*3478.38,2)</f>
        <v>93.75</v>
      </c>
      <c r="L14" s="345">
        <f>K14</f>
        <v>93.75</v>
      </c>
      <c r="M14" s="393">
        <f>SUM(K14:L14)</f>
        <v>187.5</v>
      </c>
      <c r="N14" s="392">
        <f>ROUND(D14*600*10/100000,2)</f>
        <v>93.18</v>
      </c>
      <c r="O14" s="345">
        <f>N14</f>
        <v>93.18</v>
      </c>
      <c r="P14" s="392">
        <f>SUM(N14:O14)</f>
        <v>186.36</v>
      </c>
      <c r="Q14" s="393">
        <f>H14+K14-N14</f>
        <v>7.1699999999999875</v>
      </c>
      <c r="R14" s="339">
        <f>Q14</f>
        <v>7.1699999999999875</v>
      </c>
      <c r="S14" s="393">
        <f>SUM(Q14:R14)</f>
        <v>14.339999999999975</v>
      </c>
      <c r="T14" s="394" t="s">
        <v>924</v>
      </c>
      <c r="U14" s="345">
        <f>D14</f>
        <v>1553</v>
      </c>
      <c r="V14" s="392">
        <f>D14</f>
        <v>1553</v>
      </c>
    </row>
    <row r="15" spans="1:22" ht="14.25" x14ac:dyDescent="0.2">
      <c r="A15" s="18">
        <v>2</v>
      </c>
      <c r="B15" s="361" t="s">
        <v>891</v>
      </c>
      <c r="C15" s="345">
        <v>2932</v>
      </c>
      <c r="D15" s="392">
        <v>2732</v>
      </c>
      <c r="E15" s="393">
        <f t="shared" ref="E15:E40" si="0">ROUND(C15*6000/100000,2)</f>
        <v>175.92</v>
      </c>
      <c r="F15" s="339">
        <f t="shared" ref="F15:F40" si="1">E15</f>
        <v>175.92</v>
      </c>
      <c r="G15" s="393">
        <f t="shared" ref="G15:G40" si="2">SUM(E15:F15)</f>
        <v>351.84</v>
      </c>
      <c r="H15" s="393">
        <f t="shared" ref="H15:H40" si="3">ROUND(D15/57623*244.98,2)</f>
        <v>11.61</v>
      </c>
      <c r="I15" s="339">
        <f t="shared" ref="I15:I40" si="4">H15</f>
        <v>11.61</v>
      </c>
      <c r="J15" s="393">
        <f t="shared" ref="J15:J40" si="5">SUM(H15:I15)</f>
        <v>23.22</v>
      </c>
      <c r="K15" s="392">
        <f t="shared" ref="K15:K40" si="6">ROUND(D15/57623*3478.38,2)</f>
        <v>164.92</v>
      </c>
      <c r="L15" s="345">
        <f t="shared" ref="L15:L40" si="7">K15</f>
        <v>164.92</v>
      </c>
      <c r="M15" s="393">
        <f t="shared" ref="M15:M40" si="8">SUM(K15:L15)</f>
        <v>329.84</v>
      </c>
      <c r="N15" s="392">
        <f t="shared" ref="N15:N40" si="9">ROUND(D15*600*10/100000,2)</f>
        <v>163.92</v>
      </c>
      <c r="O15" s="345">
        <f t="shared" ref="O15:O40" si="10">N15</f>
        <v>163.92</v>
      </c>
      <c r="P15" s="392">
        <f t="shared" ref="P15:P40" si="11">SUM(N15:O15)</f>
        <v>327.84</v>
      </c>
      <c r="Q15" s="393">
        <f t="shared" ref="Q15:Q40" si="12">H15+K15-N15</f>
        <v>12.609999999999985</v>
      </c>
      <c r="R15" s="339">
        <f t="shared" ref="R15:R40" si="13">Q15</f>
        <v>12.609999999999985</v>
      </c>
      <c r="S15" s="393">
        <f t="shared" ref="S15:S40" si="14">SUM(Q15:R15)</f>
        <v>25.21999999999997</v>
      </c>
      <c r="T15" s="394" t="s">
        <v>924</v>
      </c>
      <c r="U15" s="345">
        <f t="shared" ref="U15:U40" si="15">D15</f>
        <v>2732</v>
      </c>
      <c r="V15" s="392">
        <f t="shared" ref="V15:V40" si="16">D15</f>
        <v>2732</v>
      </c>
    </row>
    <row r="16" spans="1:22" ht="14.25" x14ac:dyDescent="0.2">
      <c r="A16" s="18">
        <v>3</v>
      </c>
      <c r="B16" s="361" t="s">
        <v>892</v>
      </c>
      <c r="C16" s="345">
        <v>2678</v>
      </c>
      <c r="D16" s="392">
        <v>2535</v>
      </c>
      <c r="E16" s="393">
        <f t="shared" si="0"/>
        <v>160.68</v>
      </c>
      <c r="F16" s="339">
        <f t="shared" si="1"/>
        <v>160.68</v>
      </c>
      <c r="G16" s="393">
        <f t="shared" si="2"/>
        <v>321.36</v>
      </c>
      <c r="H16" s="393">
        <f t="shared" si="3"/>
        <v>10.78</v>
      </c>
      <c r="I16" s="339">
        <f t="shared" si="4"/>
        <v>10.78</v>
      </c>
      <c r="J16" s="393">
        <f t="shared" si="5"/>
        <v>21.56</v>
      </c>
      <c r="K16" s="392">
        <f t="shared" si="6"/>
        <v>153.02000000000001</v>
      </c>
      <c r="L16" s="345">
        <f t="shared" si="7"/>
        <v>153.02000000000001</v>
      </c>
      <c r="M16" s="393">
        <f t="shared" si="8"/>
        <v>306.04000000000002</v>
      </c>
      <c r="N16" s="392">
        <f t="shared" si="9"/>
        <v>152.1</v>
      </c>
      <c r="O16" s="345">
        <f t="shared" si="10"/>
        <v>152.1</v>
      </c>
      <c r="P16" s="392">
        <f t="shared" si="11"/>
        <v>304.2</v>
      </c>
      <c r="Q16" s="393">
        <f t="shared" si="12"/>
        <v>11.700000000000017</v>
      </c>
      <c r="R16" s="339">
        <f t="shared" si="13"/>
        <v>11.700000000000017</v>
      </c>
      <c r="S16" s="393">
        <f t="shared" si="14"/>
        <v>23.400000000000034</v>
      </c>
      <c r="T16" s="394" t="s">
        <v>924</v>
      </c>
      <c r="U16" s="345">
        <f t="shared" si="15"/>
        <v>2535</v>
      </c>
      <c r="V16" s="392">
        <f t="shared" si="16"/>
        <v>2535</v>
      </c>
    </row>
    <row r="17" spans="1:22" ht="14.25" x14ac:dyDescent="0.2">
      <c r="A17" s="18">
        <v>4</v>
      </c>
      <c r="B17" s="361" t="s">
        <v>893</v>
      </c>
      <c r="C17" s="345">
        <v>3011</v>
      </c>
      <c r="D17" s="392">
        <v>2638</v>
      </c>
      <c r="E17" s="393">
        <f t="shared" si="0"/>
        <v>180.66</v>
      </c>
      <c r="F17" s="339">
        <f t="shared" si="1"/>
        <v>180.66</v>
      </c>
      <c r="G17" s="393">
        <f t="shared" si="2"/>
        <v>361.32</v>
      </c>
      <c r="H17" s="393">
        <f t="shared" si="3"/>
        <v>11.22</v>
      </c>
      <c r="I17" s="339">
        <f t="shared" si="4"/>
        <v>11.22</v>
      </c>
      <c r="J17" s="393">
        <f t="shared" si="5"/>
        <v>22.44</v>
      </c>
      <c r="K17" s="392">
        <f t="shared" si="6"/>
        <v>159.24</v>
      </c>
      <c r="L17" s="345">
        <f t="shared" si="7"/>
        <v>159.24</v>
      </c>
      <c r="M17" s="393">
        <f t="shared" si="8"/>
        <v>318.48</v>
      </c>
      <c r="N17" s="392">
        <f t="shared" si="9"/>
        <v>158.28</v>
      </c>
      <c r="O17" s="345">
        <f t="shared" si="10"/>
        <v>158.28</v>
      </c>
      <c r="P17" s="393">
        <f t="shared" si="11"/>
        <v>316.56</v>
      </c>
      <c r="Q17" s="393">
        <f t="shared" si="12"/>
        <v>12.180000000000007</v>
      </c>
      <c r="R17" s="339">
        <f t="shared" si="13"/>
        <v>12.180000000000007</v>
      </c>
      <c r="S17" s="393">
        <f t="shared" si="14"/>
        <v>24.360000000000014</v>
      </c>
      <c r="T17" s="394" t="s">
        <v>924</v>
      </c>
      <c r="U17" s="345">
        <f t="shared" si="15"/>
        <v>2638</v>
      </c>
      <c r="V17" s="392">
        <f t="shared" si="16"/>
        <v>2638</v>
      </c>
    </row>
    <row r="18" spans="1:22" ht="14.25" x14ac:dyDescent="0.2">
      <c r="A18" s="18">
        <v>5</v>
      </c>
      <c r="B18" s="361" t="s">
        <v>894</v>
      </c>
      <c r="C18" s="345">
        <v>1876</v>
      </c>
      <c r="D18" s="392">
        <v>1704</v>
      </c>
      <c r="E18" s="393">
        <f t="shared" si="0"/>
        <v>112.56</v>
      </c>
      <c r="F18" s="339">
        <f t="shared" si="1"/>
        <v>112.56</v>
      </c>
      <c r="G18" s="393">
        <f t="shared" si="2"/>
        <v>225.12</v>
      </c>
      <c r="H18" s="393">
        <f t="shared" si="3"/>
        <v>7.24</v>
      </c>
      <c r="I18" s="339">
        <f t="shared" si="4"/>
        <v>7.24</v>
      </c>
      <c r="J18" s="393">
        <f t="shared" si="5"/>
        <v>14.48</v>
      </c>
      <c r="K18" s="392">
        <f t="shared" si="6"/>
        <v>102.86</v>
      </c>
      <c r="L18" s="345">
        <f t="shared" si="7"/>
        <v>102.86</v>
      </c>
      <c r="M18" s="393">
        <f t="shared" si="8"/>
        <v>205.72</v>
      </c>
      <c r="N18" s="392">
        <f t="shared" si="9"/>
        <v>102.24</v>
      </c>
      <c r="O18" s="345">
        <f t="shared" si="10"/>
        <v>102.24</v>
      </c>
      <c r="P18" s="392">
        <f t="shared" si="11"/>
        <v>204.48</v>
      </c>
      <c r="Q18" s="393">
        <f t="shared" si="12"/>
        <v>7.8599999999999994</v>
      </c>
      <c r="R18" s="339">
        <f t="shared" si="13"/>
        <v>7.8599999999999994</v>
      </c>
      <c r="S18" s="393">
        <f t="shared" si="14"/>
        <v>15.719999999999999</v>
      </c>
      <c r="T18" s="394" t="s">
        <v>924</v>
      </c>
      <c r="U18" s="345">
        <f t="shared" si="15"/>
        <v>1704</v>
      </c>
      <c r="V18" s="392">
        <f t="shared" si="16"/>
        <v>1704</v>
      </c>
    </row>
    <row r="19" spans="1:22" ht="14.25" x14ac:dyDescent="0.2">
      <c r="A19" s="18">
        <v>6</v>
      </c>
      <c r="B19" s="361" t="s">
        <v>895</v>
      </c>
      <c r="C19" s="345">
        <v>987</v>
      </c>
      <c r="D19" s="392">
        <v>937</v>
      </c>
      <c r="E19" s="393">
        <f t="shared" si="0"/>
        <v>59.22</v>
      </c>
      <c r="F19" s="339">
        <f t="shared" si="1"/>
        <v>59.22</v>
      </c>
      <c r="G19" s="393">
        <f t="shared" si="2"/>
        <v>118.44</v>
      </c>
      <c r="H19" s="393">
        <f t="shared" si="3"/>
        <v>3.98</v>
      </c>
      <c r="I19" s="339">
        <f t="shared" si="4"/>
        <v>3.98</v>
      </c>
      <c r="J19" s="393">
        <f t="shared" si="5"/>
        <v>7.96</v>
      </c>
      <c r="K19" s="392">
        <f t="shared" si="6"/>
        <v>56.56</v>
      </c>
      <c r="L19" s="345">
        <f t="shared" si="7"/>
        <v>56.56</v>
      </c>
      <c r="M19" s="393">
        <f t="shared" si="8"/>
        <v>113.12</v>
      </c>
      <c r="N19" s="392">
        <f t="shared" si="9"/>
        <v>56.22</v>
      </c>
      <c r="O19" s="345">
        <f t="shared" si="10"/>
        <v>56.22</v>
      </c>
      <c r="P19" s="393">
        <f t="shared" si="11"/>
        <v>112.44</v>
      </c>
      <c r="Q19" s="393">
        <f t="shared" si="12"/>
        <v>4.32</v>
      </c>
      <c r="R19" s="339">
        <f t="shared" si="13"/>
        <v>4.32</v>
      </c>
      <c r="S19" s="393">
        <f t="shared" si="14"/>
        <v>8.64</v>
      </c>
      <c r="T19" s="394" t="s">
        <v>924</v>
      </c>
      <c r="U19" s="345">
        <f t="shared" si="15"/>
        <v>937</v>
      </c>
      <c r="V19" s="392">
        <f t="shared" si="16"/>
        <v>937</v>
      </c>
    </row>
    <row r="20" spans="1:22" ht="14.25" x14ac:dyDescent="0.2">
      <c r="A20" s="18">
        <v>7</v>
      </c>
      <c r="B20" s="361" t="s">
        <v>896</v>
      </c>
      <c r="C20" s="345">
        <v>4367</v>
      </c>
      <c r="D20" s="392">
        <v>3737</v>
      </c>
      <c r="E20" s="393">
        <f t="shared" si="0"/>
        <v>262.02</v>
      </c>
      <c r="F20" s="339">
        <f t="shared" si="1"/>
        <v>262.02</v>
      </c>
      <c r="G20" s="393">
        <f t="shared" si="2"/>
        <v>524.04</v>
      </c>
      <c r="H20" s="393">
        <f t="shared" si="3"/>
        <v>15.89</v>
      </c>
      <c r="I20" s="339">
        <f t="shared" si="4"/>
        <v>15.89</v>
      </c>
      <c r="J20" s="393">
        <f t="shared" si="5"/>
        <v>31.78</v>
      </c>
      <c r="K20" s="392">
        <f t="shared" si="6"/>
        <v>225.58</v>
      </c>
      <c r="L20" s="345">
        <f t="shared" si="7"/>
        <v>225.58</v>
      </c>
      <c r="M20" s="393">
        <f t="shared" si="8"/>
        <v>451.16</v>
      </c>
      <c r="N20" s="392">
        <f t="shared" si="9"/>
        <v>224.22</v>
      </c>
      <c r="O20" s="345">
        <f t="shared" si="10"/>
        <v>224.22</v>
      </c>
      <c r="P20" s="393">
        <f t="shared" si="11"/>
        <v>448.44</v>
      </c>
      <c r="Q20" s="393">
        <f t="shared" si="12"/>
        <v>17.250000000000028</v>
      </c>
      <c r="R20" s="339">
        <f t="shared" si="13"/>
        <v>17.250000000000028</v>
      </c>
      <c r="S20" s="393">
        <f t="shared" si="14"/>
        <v>34.500000000000057</v>
      </c>
      <c r="T20" s="394" t="s">
        <v>924</v>
      </c>
      <c r="U20" s="345">
        <f t="shared" si="15"/>
        <v>3737</v>
      </c>
      <c r="V20" s="392">
        <f t="shared" si="16"/>
        <v>3737</v>
      </c>
    </row>
    <row r="21" spans="1:22" ht="14.25" x14ac:dyDescent="0.2">
      <c r="A21" s="18">
        <v>8</v>
      </c>
      <c r="B21" s="361" t="s">
        <v>897</v>
      </c>
      <c r="C21" s="345">
        <v>1054</v>
      </c>
      <c r="D21" s="392">
        <v>990</v>
      </c>
      <c r="E21" s="393">
        <f t="shared" si="0"/>
        <v>63.24</v>
      </c>
      <c r="F21" s="339">
        <f t="shared" si="1"/>
        <v>63.24</v>
      </c>
      <c r="G21" s="393">
        <f t="shared" si="2"/>
        <v>126.48</v>
      </c>
      <c r="H21" s="393">
        <f t="shared" si="3"/>
        <v>4.21</v>
      </c>
      <c r="I21" s="339">
        <f t="shared" si="4"/>
        <v>4.21</v>
      </c>
      <c r="J21" s="393">
        <f t="shared" si="5"/>
        <v>8.42</v>
      </c>
      <c r="K21" s="392">
        <f t="shared" si="6"/>
        <v>59.76</v>
      </c>
      <c r="L21" s="345">
        <f t="shared" si="7"/>
        <v>59.76</v>
      </c>
      <c r="M21" s="393">
        <f t="shared" si="8"/>
        <v>119.52</v>
      </c>
      <c r="N21" s="392">
        <f t="shared" si="9"/>
        <v>59.4</v>
      </c>
      <c r="O21" s="345">
        <f t="shared" si="10"/>
        <v>59.4</v>
      </c>
      <c r="P21" s="392">
        <f t="shared" si="11"/>
        <v>118.8</v>
      </c>
      <c r="Q21" s="393">
        <f t="shared" si="12"/>
        <v>4.57</v>
      </c>
      <c r="R21" s="339">
        <f t="shared" si="13"/>
        <v>4.57</v>
      </c>
      <c r="S21" s="393">
        <f t="shared" si="14"/>
        <v>9.14</v>
      </c>
      <c r="T21" s="394" t="s">
        <v>924</v>
      </c>
      <c r="U21" s="345">
        <f t="shared" si="15"/>
        <v>990</v>
      </c>
      <c r="V21" s="392">
        <f t="shared" si="16"/>
        <v>990</v>
      </c>
    </row>
    <row r="22" spans="1:22" ht="14.25" x14ac:dyDescent="0.2">
      <c r="A22" s="18">
        <v>9</v>
      </c>
      <c r="B22" s="361" t="s">
        <v>898</v>
      </c>
      <c r="C22" s="345">
        <v>1763</v>
      </c>
      <c r="D22" s="392">
        <v>1561</v>
      </c>
      <c r="E22" s="393">
        <f t="shared" si="0"/>
        <v>105.78</v>
      </c>
      <c r="F22" s="339">
        <f t="shared" si="1"/>
        <v>105.78</v>
      </c>
      <c r="G22" s="393">
        <f t="shared" si="2"/>
        <v>211.56</v>
      </c>
      <c r="H22" s="393">
        <f t="shared" si="3"/>
        <v>6.64</v>
      </c>
      <c r="I22" s="339">
        <f t="shared" si="4"/>
        <v>6.64</v>
      </c>
      <c r="J22" s="393">
        <f t="shared" si="5"/>
        <v>13.28</v>
      </c>
      <c r="K22" s="392">
        <f t="shared" si="6"/>
        <v>94.23</v>
      </c>
      <c r="L22" s="345">
        <f t="shared" si="7"/>
        <v>94.23</v>
      </c>
      <c r="M22" s="393">
        <f t="shared" si="8"/>
        <v>188.46</v>
      </c>
      <c r="N22" s="392">
        <f t="shared" si="9"/>
        <v>93.66</v>
      </c>
      <c r="O22" s="345">
        <f t="shared" si="10"/>
        <v>93.66</v>
      </c>
      <c r="P22" s="392">
        <f t="shared" si="11"/>
        <v>187.32</v>
      </c>
      <c r="Q22" s="393">
        <f t="shared" si="12"/>
        <v>7.210000000000008</v>
      </c>
      <c r="R22" s="339">
        <f t="shared" si="13"/>
        <v>7.210000000000008</v>
      </c>
      <c r="S22" s="393">
        <f t="shared" si="14"/>
        <v>14.420000000000016</v>
      </c>
      <c r="T22" s="394" t="s">
        <v>924</v>
      </c>
      <c r="U22" s="345">
        <f t="shared" si="15"/>
        <v>1561</v>
      </c>
      <c r="V22" s="392">
        <f t="shared" si="16"/>
        <v>1561</v>
      </c>
    </row>
    <row r="23" spans="1:22" ht="14.25" x14ac:dyDescent="0.2">
      <c r="A23" s="18">
        <v>10</v>
      </c>
      <c r="B23" s="361" t="s">
        <v>899</v>
      </c>
      <c r="C23" s="345">
        <v>1549</v>
      </c>
      <c r="D23" s="392">
        <v>1446</v>
      </c>
      <c r="E23" s="393">
        <f t="shared" si="0"/>
        <v>92.94</v>
      </c>
      <c r="F23" s="339">
        <f t="shared" si="1"/>
        <v>92.94</v>
      </c>
      <c r="G23" s="393">
        <f t="shared" si="2"/>
        <v>185.88</v>
      </c>
      <c r="H23" s="393">
        <f t="shared" si="3"/>
        <v>6.15</v>
      </c>
      <c r="I23" s="339">
        <f t="shared" si="4"/>
        <v>6.15</v>
      </c>
      <c r="J23" s="393">
        <f t="shared" si="5"/>
        <v>12.3</v>
      </c>
      <c r="K23" s="392">
        <f t="shared" si="6"/>
        <v>87.29</v>
      </c>
      <c r="L23" s="345">
        <f t="shared" si="7"/>
        <v>87.29</v>
      </c>
      <c r="M23" s="393">
        <f t="shared" si="8"/>
        <v>174.58</v>
      </c>
      <c r="N23" s="392">
        <f t="shared" si="9"/>
        <v>86.76</v>
      </c>
      <c r="O23" s="345">
        <f t="shared" si="10"/>
        <v>86.76</v>
      </c>
      <c r="P23" s="392">
        <f t="shared" si="11"/>
        <v>173.52</v>
      </c>
      <c r="Q23" s="393">
        <f t="shared" si="12"/>
        <v>6.6800000000000068</v>
      </c>
      <c r="R23" s="339">
        <f t="shared" si="13"/>
        <v>6.6800000000000068</v>
      </c>
      <c r="S23" s="393">
        <f t="shared" si="14"/>
        <v>13.360000000000014</v>
      </c>
      <c r="T23" s="394" t="s">
        <v>924</v>
      </c>
      <c r="U23" s="345">
        <f t="shared" si="15"/>
        <v>1446</v>
      </c>
      <c r="V23" s="392">
        <f t="shared" si="16"/>
        <v>1446</v>
      </c>
    </row>
    <row r="24" spans="1:22" ht="14.25" x14ac:dyDescent="0.2">
      <c r="A24" s="18">
        <v>11</v>
      </c>
      <c r="B24" s="361" t="s">
        <v>900</v>
      </c>
      <c r="C24" s="345">
        <v>1875</v>
      </c>
      <c r="D24" s="392">
        <v>1755</v>
      </c>
      <c r="E24" s="393">
        <f t="shared" si="0"/>
        <v>112.5</v>
      </c>
      <c r="F24" s="339">
        <f t="shared" si="1"/>
        <v>112.5</v>
      </c>
      <c r="G24" s="393">
        <f t="shared" si="2"/>
        <v>225</v>
      </c>
      <c r="H24" s="393">
        <f t="shared" si="3"/>
        <v>7.46</v>
      </c>
      <c r="I24" s="339">
        <f t="shared" si="4"/>
        <v>7.46</v>
      </c>
      <c r="J24" s="393">
        <f t="shared" si="5"/>
        <v>14.92</v>
      </c>
      <c r="K24" s="392">
        <f t="shared" si="6"/>
        <v>105.94</v>
      </c>
      <c r="L24" s="345">
        <f t="shared" si="7"/>
        <v>105.94</v>
      </c>
      <c r="M24" s="393">
        <f t="shared" si="8"/>
        <v>211.88</v>
      </c>
      <c r="N24" s="392">
        <f t="shared" si="9"/>
        <v>105.3</v>
      </c>
      <c r="O24" s="345">
        <f t="shared" si="10"/>
        <v>105.3</v>
      </c>
      <c r="P24" s="392">
        <f t="shared" si="11"/>
        <v>210.6</v>
      </c>
      <c r="Q24" s="393">
        <f t="shared" si="12"/>
        <v>8.0999999999999943</v>
      </c>
      <c r="R24" s="339">
        <f t="shared" si="13"/>
        <v>8.0999999999999943</v>
      </c>
      <c r="S24" s="393">
        <f t="shared" si="14"/>
        <v>16.199999999999989</v>
      </c>
      <c r="T24" s="394" t="s">
        <v>924</v>
      </c>
      <c r="U24" s="345">
        <f t="shared" si="15"/>
        <v>1755</v>
      </c>
      <c r="V24" s="392">
        <f t="shared" si="16"/>
        <v>1755</v>
      </c>
    </row>
    <row r="25" spans="1:22" ht="14.25" x14ac:dyDescent="0.2">
      <c r="A25" s="18">
        <v>12</v>
      </c>
      <c r="B25" s="361" t="s">
        <v>901</v>
      </c>
      <c r="C25" s="345">
        <v>3487</v>
      </c>
      <c r="D25" s="345">
        <v>3061</v>
      </c>
      <c r="E25" s="393">
        <f t="shared" si="0"/>
        <v>209.22</v>
      </c>
      <c r="F25" s="339">
        <f t="shared" si="1"/>
        <v>209.22</v>
      </c>
      <c r="G25" s="393">
        <f t="shared" si="2"/>
        <v>418.44</v>
      </c>
      <c r="H25" s="393">
        <f t="shared" si="3"/>
        <v>13.01</v>
      </c>
      <c r="I25" s="339">
        <f t="shared" si="4"/>
        <v>13.01</v>
      </c>
      <c r="J25" s="393">
        <f t="shared" si="5"/>
        <v>26.02</v>
      </c>
      <c r="K25" s="392">
        <f t="shared" si="6"/>
        <v>184.78</v>
      </c>
      <c r="L25" s="345">
        <f t="shared" si="7"/>
        <v>184.78</v>
      </c>
      <c r="M25" s="393">
        <f t="shared" si="8"/>
        <v>369.56</v>
      </c>
      <c r="N25" s="392">
        <f t="shared" si="9"/>
        <v>183.66</v>
      </c>
      <c r="O25" s="345">
        <f t="shared" si="10"/>
        <v>183.66</v>
      </c>
      <c r="P25" s="392">
        <f t="shared" si="11"/>
        <v>367.32</v>
      </c>
      <c r="Q25" s="393">
        <f t="shared" si="12"/>
        <v>14.129999999999995</v>
      </c>
      <c r="R25" s="339">
        <f t="shared" si="13"/>
        <v>14.129999999999995</v>
      </c>
      <c r="S25" s="393">
        <f t="shared" si="14"/>
        <v>28.259999999999991</v>
      </c>
      <c r="T25" s="394" t="s">
        <v>924</v>
      </c>
      <c r="U25" s="345">
        <f t="shared" si="15"/>
        <v>3061</v>
      </c>
      <c r="V25" s="392">
        <f t="shared" si="16"/>
        <v>3061</v>
      </c>
    </row>
    <row r="26" spans="1:22" ht="14.25" x14ac:dyDescent="0.2">
      <c r="A26" s="18">
        <v>13</v>
      </c>
      <c r="B26" s="361" t="s">
        <v>902</v>
      </c>
      <c r="C26" s="345">
        <v>2847</v>
      </c>
      <c r="D26" s="345">
        <v>2740</v>
      </c>
      <c r="E26" s="393">
        <f t="shared" si="0"/>
        <v>170.82</v>
      </c>
      <c r="F26" s="339">
        <f t="shared" si="1"/>
        <v>170.82</v>
      </c>
      <c r="G26" s="393">
        <f t="shared" si="2"/>
        <v>341.64</v>
      </c>
      <c r="H26" s="393">
        <f t="shared" si="3"/>
        <v>11.65</v>
      </c>
      <c r="I26" s="339">
        <f t="shared" si="4"/>
        <v>11.65</v>
      </c>
      <c r="J26" s="393">
        <f t="shared" si="5"/>
        <v>23.3</v>
      </c>
      <c r="K26" s="392">
        <f t="shared" si="6"/>
        <v>165.4</v>
      </c>
      <c r="L26" s="345">
        <f t="shared" si="7"/>
        <v>165.4</v>
      </c>
      <c r="M26" s="393">
        <f t="shared" si="8"/>
        <v>330.8</v>
      </c>
      <c r="N26" s="392">
        <f t="shared" si="9"/>
        <v>164.4</v>
      </c>
      <c r="O26" s="345">
        <f t="shared" si="10"/>
        <v>164.4</v>
      </c>
      <c r="P26" s="392">
        <f t="shared" si="11"/>
        <v>328.8</v>
      </c>
      <c r="Q26" s="393">
        <f t="shared" si="12"/>
        <v>12.650000000000006</v>
      </c>
      <c r="R26" s="339">
        <f t="shared" si="13"/>
        <v>12.650000000000006</v>
      </c>
      <c r="S26" s="393">
        <f t="shared" si="14"/>
        <v>25.300000000000011</v>
      </c>
      <c r="T26" s="394" t="s">
        <v>924</v>
      </c>
      <c r="U26" s="345">
        <f t="shared" si="15"/>
        <v>2740</v>
      </c>
      <c r="V26" s="392">
        <f t="shared" si="16"/>
        <v>2740</v>
      </c>
    </row>
    <row r="27" spans="1:22" ht="13.5" customHeight="1" x14ac:dyDescent="0.2">
      <c r="A27" s="18">
        <v>14</v>
      </c>
      <c r="B27" s="361" t="s">
        <v>903</v>
      </c>
      <c r="C27" s="345">
        <v>2589</v>
      </c>
      <c r="D27" s="345">
        <v>2406</v>
      </c>
      <c r="E27" s="393">
        <f t="shared" si="0"/>
        <v>155.34</v>
      </c>
      <c r="F27" s="339">
        <f t="shared" si="1"/>
        <v>155.34</v>
      </c>
      <c r="G27" s="393">
        <f t="shared" si="2"/>
        <v>310.68</v>
      </c>
      <c r="H27" s="393">
        <f t="shared" si="3"/>
        <v>10.23</v>
      </c>
      <c r="I27" s="339">
        <f t="shared" si="4"/>
        <v>10.23</v>
      </c>
      <c r="J27" s="393">
        <f t="shared" si="5"/>
        <v>20.46</v>
      </c>
      <c r="K27" s="392">
        <f t="shared" si="6"/>
        <v>145.24</v>
      </c>
      <c r="L27" s="345">
        <f t="shared" si="7"/>
        <v>145.24</v>
      </c>
      <c r="M27" s="393">
        <f t="shared" si="8"/>
        <v>290.48</v>
      </c>
      <c r="N27" s="392">
        <f t="shared" si="9"/>
        <v>144.36000000000001</v>
      </c>
      <c r="O27" s="345">
        <f t="shared" si="10"/>
        <v>144.36000000000001</v>
      </c>
      <c r="P27" s="392">
        <f t="shared" si="11"/>
        <v>288.72000000000003</v>
      </c>
      <c r="Q27" s="393">
        <f t="shared" si="12"/>
        <v>11.109999999999985</v>
      </c>
      <c r="R27" s="339">
        <f t="shared" si="13"/>
        <v>11.109999999999985</v>
      </c>
      <c r="S27" s="393">
        <f t="shared" si="14"/>
        <v>22.21999999999997</v>
      </c>
      <c r="T27" s="394" t="s">
        <v>924</v>
      </c>
      <c r="U27" s="345">
        <f t="shared" si="15"/>
        <v>2406</v>
      </c>
      <c r="V27" s="392">
        <f t="shared" si="16"/>
        <v>2406</v>
      </c>
    </row>
    <row r="28" spans="1:22" ht="14.25" x14ac:dyDescent="0.2">
      <c r="A28" s="18">
        <v>15</v>
      </c>
      <c r="B28" s="361" t="s">
        <v>904</v>
      </c>
      <c r="C28" s="345">
        <v>2290</v>
      </c>
      <c r="D28" s="345">
        <v>2053</v>
      </c>
      <c r="E28" s="393">
        <f t="shared" si="0"/>
        <v>137.4</v>
      </c>
      <c r="F28" s="339">
        <f t="shared" si="1"/>
        <v>137.4</v>
      </c>
      <c r="G28" s="393">
        <f t="shared" si="2"/>
        <v>274.8</v>
      </c>
      <c r="H28" s="393">
        <f t="shared" si="3"/>
        <v>8.73</v>
      </c>
      <c r="I28" s="339">
        <f t="shared" si="4"/>
        <v>8.73</v>
      </c>
      <c r="J28" s="393">
        <f t="shared" si="5"/>
        <v>17.46</v>
      </c>
      <c r="K28" s="392">
        <f t="shared" si="6"/>
        <v>123.93</v>
      </c>
      <c r="L28" s="345">
        <f t="shared" si="7"/>
        <v>123.93</v>
      </c>
      <c r="M28" s="393">
        <f t="shared" si="8"/>
        <v>247.86</v>
      </c>
      <c r="N28" s="392">
        <f t="shared" si="9"/>
        <v>123.18</v>
      </c>
      <c r="O28" s="345">
        <f t="shared" si="10"/>
        <v>123.18</v>
      </c>
      <c r="P28" s="392">
        <f t="shared" si="11"/>
        <v>246.36</v>
      </c>
      <c r="Q28" s="393">
        <f t="shared" si="12"/>
        <v>9.4799999999999898</v>
      </c>
      <c r="R28" s="339">
        <f t="shared" si="13"/>
        <v>9.4799999999999898</v>
      </c>
      <c r="S28" s="393">
        <f t="shared" si="14"/>
        <v>18.95999999999998</v>
      </c>
      <c r="T28" s="394" t="s">
        <v>924</v>
      </c>
      <c r="U28" s="345">
        <f t="shared" si="15"/>
        <v>2053</v>
      </c>
      <c r="V28" s="392">
        <f t="shared" si="16"/>
        <v>2053</v>
      </c>
    </row>
    <row r="29" spans="1:22" ht="14.25" x14ac:dyDescent="0.2">
      <c r="A29" s="18">
        <v>16</v>
      </c>
      <c r="B29" s="361" t="s">
        <v>905</v>
      </c>
      <c r="C29" s="345">
        <v>2109</v>
      </c>
      <c r="D29" s="345">
        <v>2119</v>
      </c>
      <c r="E29" s="393">
        <f t="shared" si="0"/>
        <v>126.54</v>
      </c>
      <c r="F29" s="339">
        <f t="shared" si="1"/>
        <v>126.54</v>
      </c>
      <c r="G29" s="393">
        <f t="shared" si="2"/>
        <v>253.08</v>
      </c>
      <c r="H29" s="393">
        <f t="shared" si="3"/>
        <v>9.01</v>
      </c>
      <c r="I29" s="339">
        <f t="shared" si="4"/>
        <v>9.01</v>
      </c>
      <c r="J29" s="393">
        <f t="shared" si="5"/>
        <v>18.02</v>
      </c>
      <c r="K29" s="392">
        <f t="shared" si="6"/>
        <v>127.91</v>
      </c>
      <c r="L29" s="345">
        <f t="shared" si="7"/>
        <v>127.91</v>
      </c>
      <c r="M29" s="393">
        <f t="shared" si="8"/>
        <v>255.82</v>
      </c>
      <c r="N29" s="392">
        <f t="shared" si="9"/>
        <v>127.14</v>
      </c>
      <c r="O29" s="345">
        <f t="shared" si="10"/>
        <v>127.14</v>
      </c>
      <c r="P29" s="393">
        <f t="shared" si="11"/>
        <v>254.28</v>
      </c>
      <c r="Q29" s="393">
        <f t="shared" si="12"/>
        <v>9.7799999999999869</v>
      </c>
      <c r="R29" s="339">
        <f t="shared" si="13"/>
        <v>9.7799999999999869</v>
      </c>
      <c r="S29" s="393">
        <f t="shared" si="14"/>
        <v>19.559999999999974</v>
      </c>
      <c r="T29" s="394" t="s">
        <v>924</v>
      </c>
      <c r="U29" s="345">
        <f t="shared" si="15"/>
        <v>2119</v>
      </c>
      <c r="V29" s="392">
        <f t="shared" si="16"/>
        <v>2119</v>
      </c>
    </row>
    <row r="30" spans="1:22" ht="16.5" customHeight="1" x14ac:dyDescent="0.2">
      <c r="A30" s="18">
        <v>17</v>
      </c>
      <c r="B30" s="361" t="s">
        <v>906</v>
      </c>
      <c r="C30" s="345">
        <v>2957</v>
      </c>
      <c r="D30" s="345">
        <v>2671</v>
      </c>
      <c r="E30" s="393">
        <f t="shared" si="0"/>
        <v>177.42</v>
      </c>
      <c r="F30" s="339">
        <f t="shared" si="1"/>
        <v>177.42</v>
      </c>
      <c r="G30" s="393">
        <f t="shared" si="2"/>
        <v>354.84</v>
      </c>
      <c r="H30" s="393">
        <f t="shared" si="3"/>
        <v>11.36</v>
      </c>
      <c r="I30" s="339">
        <f t="shared" si="4"/>
        <v>11.36</v>
      </c>
      <c r="J30" s="393">
        <f t="shared" si="5"/>
        <v>22.72</v>
      </c>
      <c r="K30" s="392">
        <f t="shared" si="6"/>
        <v>161.22999999999999</v>
      </c>
      <c r="L30" s="345">
        <f t="shared" si="7"/>
        <v>161.22999999999999</v>
      </c>
      <c r="M30" s="393">
        <f t="shared" si="8"/>
        <v>322.45999999999998</v>
      </c>
      <c r="N30" s="392">
        <f t="shared" si="9"/>
        <v>160.26</v>
      </c>
      <c r="O30" s="345">
        <f t="shared" si="10"/>
        <v>160.26</v>
      </c>
      <c r="P30" s="392">
        <f t="shared" si="11"/>
        <v>320.52</v>
      </c>
      <c r="Q30" s="393">
        <f t="shared" si="12"/>
        <v>12.329999999999984</v>
      </c>
      <c r="R30" s="339">
        <f t="shared" si="13"/>
        <v>12.329999999999984</v>
      </c>
      <c r="S30" s="393">
        <f t="shared" si="14"/>
        <v>24.659999999999968</v>
      </c>
      <c r="T30" s="394" t="s">
        <v>924</v>
      </c>
      <c r="U30" s="345">
        <f t="shared" si="15"/>
        <v>2671</v>
      </c>
      <c r="V30" s="392">
        <f t="shared" si="16"/>
        <v>2671</v>
      </c>
    </row>
    <row r="31" spans="1:22" ht="14.25" x14ac:dyDescent="0.2">
      <c r="A31" s="18">
        <v>18</v>
      </c>
      <c r="B31" s="361" t="s">
        <v>907</v>
      </c>
      <c r="C31" s="345">
        <v>1541</v>
      </c>
      <c r="D31" s="345">
        <v>1655</v>
      </c>
      <c r="E31" s="393">
        <f t="shared" si="0"/>
        <v>92.46</v>
      </c>
      <c r="F31" s="339">
        <f t="shared" si="1"/>
        <v>92.46</v>
      </c>
      <c r="G31" s="393">
        <f t="shared" si="2"/>
        <v>184.92</v>
      </c>
      <c r="H31" s="393">
        <f t="shared" si="3"/>
        <v>7.04</v>
      </c>
      <c r="I31" s="339">
        <f t="shared" si="4"/>
        <v>7.04</v>
      </c>
      <c r="J31" s="393">
        <f t="shared" si="5"/>
        <v>14.08</v>
      </c>
      <c r="K31" s="392">
        <f t="shared" si="6"/>
        <v>99.9</v>
      </c>
      <c r="L31" s="345">
        <f t="shared" si="7"/>
        <v>99.9</v>
      </c>
      <c r="M31" s="393">
        <f t="shared" si="8"/>
        <v>199.8</v>
      </c>
      <c r="N31" s="392">
        <f t="shared" si="9"/>
        <v>99.3</v>
      </c>
      <c r="O31" s="345">
        <f t="shared" si="10"/>
        <v>99.3</v>
      </c>
      <c r="P31" s="392">
        <f t="shared" si="11"/>
        <v>198.6</v>
      </c>
      <c r="Q31" s="393">
        <f t="shared" si="12"/>
        <v>7.6400000000000148</v>
      </c>
      <c r="R31" s="339">
        <f t="shared" si="13"/>
        <v>7.6400000000000148</v>
      </c>
      <c r="S31" s="393">
        <f t="shared" si="14"/>
        <v>15.28000000000003</v>
      </c>
      <c r="T31" s="394" t="s">
        <v>924</v>
      </c>
      <c r="U31" s="345">
        <f t="shared" si="15"/>
        <v>1655</v>
      </c>
      <c r="V31" s="392">
        <f t="shared" si="16"/>
        <v>1655</v>
      </c>
    </row>
    <row r="32" spans="1:22" ht="14.25" x14ac:dyDescent="0.2">
      <c r="A32" s="18">
        <v>19</v>
      </c>
      <c r="B32" s="361" t="s">
        <v>908</v>
      </c>
      <c r="C32" s="345">
        <v>2655</v>
      </c>
      <c r="D32" s="345">
        <v>2460</v>
      </c>
      <c r="E32" s="393">
        <f t="shared" si="0"/>
        <v>159.30000000000001</v>
      </c>
      <c r="F32" s="339">
        <f t="shared" si="1"/>
        <v>159.30000000000001</v>
      </c>
      <c r="G32" s="393">
        <f t="shared" si="2"/>
        <v>318.60000000000002</v>
      </c>
      <c r="H32" s="393">
        <f t="shared" si="3"/>
        <v>10.46</v>
      </c>
      <c r="I32" s="339">
        <f t="shared" si="4"/>
        <v>10.46</v>
      </c>
      <c r="J32" s="393">
        <f t="shared" si="5"/>
        <v>20.92</v>
      </c>
      <c r="K32" s="392">
        <f t="shared" si="6"/>
        <v>148.5</v>
      </c>
      <c r="L32" s="345">
        <f t="shared" si="7"/>
        <v>148.5</v>
      </c>
      <c r="M32" s="393">
        <f t="shared" si="8"/>
        <v>297</v>
      </c>
      <c r="N32" s="392">
        <f t="shared" si="9"/>
        <v>147.6</v>
      </c>
      <c r="O32" s="345">
        <f t="shared" si="10"/>
        <v>147.6</v>
      </c>
      <c r="P32" s="392">
        <f t="shared" si="11"/>
        <v>295.2</v>
      </c>
      <c r="Q32" s="393">
        <f t="shared" si="12"/>
        <v>11.360000000000014</v>
      </c>
      <c r="R32" s="339">
        <f t="shared" si="13"/>
        <v>11.360000000000014</v>
      </c>
      <c r="S32" s="393">
        <f t="shared" si="14"/>
        <v>22.720000000000027</v>
      </c>
      <c r="T32" s="394" t="s">
        <v>924</v>
      </c>
      <c r="U32" s="345">
        <f t="shared" si="15"/>
        <v>2460</v>
      </c>
      <c r="V32" s="392">
        <f t="shared" si="16"/>
        <v>2460</v>
      </c>
    </row>
    <row r="33" spans="1:22" ht="14.25" x14ac:dyDescent="0.2">
      <c r="A33" s="18">
        <v>20</v>
      </c>
      <c r="B33" s="361" t="s">
        <v>909</v>
      </c>
      <c r="C33" s="345">
        <v>1789</v>
      </c>
      <c r="D33" s="345">
        <v>1555</v>
      </c>
      <c r="E33" s="393">
        <f t="shared" si="0"/>
        <v>107.34</v>
      </c>
      <c r="F33" s="339">
        <f t="shared" si="1"/>
        <v>107.34</v>
      </c>
      <c r="G33" s="393">
        <f t="shared" si="2"/>
        <v>214.68</v>
      </c>
      <c r="H33" s="393">
        <f t="shared" si="3"/>
        <v>6.61</v>
      </c>
      <c r="I33" s="339">
        <f t="shared" si="4"/>
        <v>6.61</v>
      </c>
      <c r="J33" s="393">
        <f t="shared" si="5"/>
        <v>13.22</v>
      </c>
      <c r="K33" s="392">
        <f t="shared" si="6"/>
        <v>93.87</v>
      </c>
      <c r="L33" s="345">
        <f t="shared" si="7"/>
        <v>93.87</v>
      </c>
      <c r="M33" s="393">
        <f t="shared" si="8"/>
        <v>187.74</v>
      </c>
      <c r="N33" s="392">
        <f t="shared" si="9"/>
        <v>93.3</v>
      </c>
      <c r="O33" s="345">
        <f t="shared" si="10"/>
        <v>93.3</v>
      </c>
      <c r="P33" s="392">
        <f t="shared" si="11"/>
        <v>186.6</v>
      </c>
      <c r="Q33" s="393">
        <f t="shared" si="12"/>
        <v>7.1800000000000068</v>
      </c>
      <c r="R33" s="339">
        <f t="shared" si="13"/>
        <v>7.1800000000000068</v>
      </c>
      <c r="S33" s="393">
        <f t="shared" si="14"/>
        <v>14.360000000000014</v>
      </c>
      <c r="T33" s="394" t="s">
        <v>924</v>
      </c>
      <c r="U33" s="345">
        <f t="shared" si="15"/>
        <v>1555</v>
      </c>
      <c r="V33" s="392">
        <f t="shared" si="16"/>
        <v>1555</v>
      </c>
    </row>
    <row r="34" spans="1:22" ht="14.25" x14ac:dyDescent="0.2">
      <c r="A34" s="18">
        <v>21</v>
      </c>
      <c r="B34" s="361" t="s">
        <v>910</v>
      </c>
      <c r="C34" s="345">
        <v>725</v>
      </c>
      <c r="D34" s="345">
        <v>608</v>
      </c>
      <c r="E34" s="393">
        <f t="shared" si="0"/>
        <v>43.5</v>
      </c>
      <c r="F34" s="339">
        <f t="shared" si="1"/>
        <v>43.5</v>
      </c>
      <c r="G34" s="393">
        <f t="shared" si="2"/>
        <v>87</v>
      </c>
      <c r="H34" s="393">
        <f t="shared" si="3"/>
        <v>2.58</v>
      </c>
      <c r="I34" s="339">
        <f t="shared" si="4"/>
        <v>2.58</v>
      </c>
      <c r="J34" s="393">
        <f t="shared" si="5"/>
        <v>5.16</v>
      </c>
      <c r="K34" s="392">
        <f t="shared" si="6"/>
        <v>36.700000000000003</v>
      </c>
      <c r="L34" s="345">
        <f t="shared" si="7"/>
        <v>36.700000000000003</v>
      </c>
      <c r="M34" s="393">
        <f t="shared" si="8"/>
        <v>73.400000000000006</v>
      </c>
      <c r="N34" s="392">
        <f t="shared" si="9"/>
        <v>36.479999999999997</v>
      </c>
      <c r="O34" s="345">
        <f t="shared" si="10"/>
        <v>36.479999999999997</v>
      </c>
      <c r="P34" s="392">
        <f t="shared" si="11"/>
        <v>72.959999999999994</v>
      </c>
      <c r="Q34" s="393">
        <f t="shared" si="12"/>
        <v>2.8000000000000043</v>
      </c>
      <c r="R34" s="339">
        <f t="shared" si="13"/>
        <v>2.8000000000000043</v>
      </c>
      <c r="S34" s="393">
        <f t="shared" si="14"/>
        <v>5.6000000000000085</v>
      </c>
      <c r="T34" s="394" t="s">
        <v>924</v>
      </c>
      <c r="U34" s="345">
        <f t="shared" si="15"/>
        <v>608</v>
      </c>
      <c r="V34" s="392">
        <f t="shared" si="16"/>
        <v>608</v>
      </c>
    </row>
    <row r="35" spans="1:22" ht="14.25" x14ac:dyDescent="0.2">
      <c r="A35" s="18">
        <v>22</v>
      </c>
      <c r="B35" s="361" t="s">
        <v>911</v>
      </c>
      <c r="C35" s="345">
        <v>3801</v>
      </c>
      <c r="D35" s="345">
        <v>3314</v>
      </c>
      <c r="E35" s="393">
        <f t="shared" si="0"/>
        <v>228.06</v>
      </c>
      <c r="F35" s="339">
        <f t="shared" si="1"/>
        <v>228.06</v>
      </c>
      <c r="G35" s="393">
        <f t="shared" si="2"/>
        <v>456.12</v>
      </c>
      <c r="H35" s="393">
        <f t="shared" si="3"/>
        <v>14.09</v>
      </c>
      <c r="I35" s="339">
        <f t="shared" si="4"/>
        <v>14.09</v>
      </c>
      <c r="J35" s="393">
        <f t="shared" si="5"/>
        <v>28.18</v>
      </c>
      <c r="K35" s="392">
        <f t="shared" si="6"/>
        <v>200.05</v>
      </c>
      <c r="L35" s="345">
        <f t="shared" si="7"/>
        <v>200.05</v>
      </c>
      <c r="M35" s="393">
        <f t="shared" si="8"/>
        <v>400.1</v>
      </c>
      <c r="N35" s="392">
        <f t="shared" si="9"/>
        <v>198.84</v>
      </c>
      <c r="O35" s="345">
        <f t="shared" si="10"/>
        <v>198.84</v>
      </c>
      <c r="P35" s="392">
        <f t="shared" si="11"/>
        <v>397.68</v>
      </c>
      <c r="Q35" s="393">
        <f t="shared" si="12"/>
        <v>15.300000000000011</v>
      </c>
      <c r="R35" s="339">
        <f t="shared" si="13"/>
        <v>15.300000000000011</v>
      </c>
      <c r="S35" s="393">
        <f t="shared" si="14"/>
        <v>30.600000000000023</v>
      </c>
      <c r="T35" s="394" t="s">
        <v>924</v>
      </c>
      <c r="U35" s="345">
        <f t="shared" si="15"/>
        <v>3314</v>
      </c>
      <c r="V35" s="392">
        <f t="shared" si="16"/>
        <v>3314</v>
      </c>
    </row>
    <row r="36" spans="1:22" ht="14.25" x14ac:dyDescent="0.2">
      <c r="A36" s="18">
        <v>23</v>
      </c>
      <c r="B36" s="361" t="s">
        <v>912</v>
      </c>
      <c r="C36" s="345">
        <v>2251</v>
      </c>
      <c r="D36" s="345">
        <v>2050</v>
      </c>
      <c r="E36" s="393">
        <f t="shared" si="0"/>
        <v>135.06</v>
      </c>
      <c r="F36" s="339">
        <f t="shared" si="1"/>
        <v>135.06</v>
      </c>
      <c r="G36" s="393">
        <f t="shared" si="2"/>
        <v>270.12</v>
      </c>
      <c r="H36" s="393">
        <f t="shared" si="3"/>
        <v>8.7200000000000006</v>
      </c>
      <c r="I36" s="339">
        <f t="shared" si="4"/>
        <v>8.7200000000000006</v>
      </c>
      <c r="J36" s="393">
        <f t="shared" si="5"/>
        <v>17.440000000000001</v>
      </c>
      <c r="K36" s="392">
        <f t="shared" si="6"/>
        <v>123.75</v>
      </c>
      <c r="L36" s="345">
        <f t="shared" si="7"/>
        <v>123.75</v>
      </c>
      <c r="M36" s="393">
        <f t="shared" si="8"/>
        <v>247.5</v>
      </c>
      <c r="N36" s="392">
        <f t="shared" si="9"/>
        <v>123</v>
      </c>
      <c r="O36" s="345">
        <f t="shared" si="10"/>
        <v>123</v>
      </c>
      <c r="P36" s="393">
        <f t="shared" si="11"/>
        <v>246</v>
      </c>
      <c r="Q36" s="393">
        <f t="shared" si="12"/>
        <v>9.4699999999999989</v>
      </c>
      <c r="R36" s="339">
        <f t="shared" si="13"/>
        <v>9.4699999999999989</v>
      </c>
      <c r="S36" s="393">
        <f t="shared" si="14"/>
        <v>18.939999999999998</v>
      </c>
      <c r="T36" s="394" t="s">
        <v>924</v>
      </c>
      <c r="U36" s="345">
        <f t="shared" si="15"/>
        <v>2050</v>
      </c>
      <c r="V36" s="392">
        <f t="shared" si="16"/>
        <v>2050</v>
      </c>
    </row>
    <row r="37" spans="1:22" ht="16.5" customHeight="1" x14ac:dyDescent="0.2">
      <c r="A37" s="18">
        <v>24</v>
      </c>
      <c r="B37" s="361" t="s">
        <v>913</v>
      </c>
      <c r="C37" s="345">
        <v>3433</v>
      </c>
      <c r="D37" s="345">
        <v>3466</v>
      </c>
      <c r="E37" s="393">
        <f t="shared" si="0"/>
        <v>205.98</v>
      </c>
      <c r="F37" s="339">
        <f t="shared" si="1"/>
        <v>205.98</v>
      </c>
      <c r="G37" s="393">
        <f t="shared" si="2"/>
        <v>411.96</v>
      </c>
      <c r="H37" s="393">
        <f t="shared" si="3"/>
        <v>14.74</v>
      </c>
      <c r="I37" s="339">
        <f t="shared" si="4"/>
        <v>14.74</v>
      </c>
      <c r="J37" s="393">
        <f t="shared" si="5"/>
        <v>29.48</v>
      </c>
      <c r="K37" s="392">
        <f t="shared" si="6"/>
        <v>209.22</v>
      </c>
      <c r="L37" s="345">
        <f t="shared" si="7"/>
        <v>209.22</v>
      </c>
      <c r="M37" s="393">
        <f t="shared" si="8"/>
        <v>418.44</v>
      </c>
      <c r="N37" s="392">
        <f t="shared" si="9"/>
        <v>207.96</v>
      </c>
      <c r="O37" s="345">
        <f t="shared" si="10"/>
        <v>207.96</v>
      </c>
      <c r="P37" s="392">
        <f t="shared" si="11"/>
        <v>415.92</v>
      </c>
      <c r="Q37" s="393">
        <f t="shared" si="12"/>
        <v>16</v>
      </c>
      <c r="R37" s="339">
        <f t="shared" si="13"/>
        <v>16</v>
      </c>
      <c r="S37" s="393">
        <f t="shared" si="14"/>
        <v>32</v>
      </c>
      <c r="T37" s="394" t="s">
        <v>924</v>
      </c>
      <c r="U37" s="345">
        <f t="shared" si="15"/>
        <v>3466</v>
      </c>
      <c r="V37" s="392">
        <f t="shared" si="16"/>
        <v>3466</v>
      </c>
    </row>
    <row r="38" spans="1:22" ht="14.25" x14ac:dyDescent="0.2">
      <c r="A38" s="18">
        <v>25</v>
      </c>
      <c r="B38" s="361" t="s">
        <v>919</v>
      </c>
      <c r="C38" s="345">
        <v>2288</v>
      </c>
      <c r="D38" s="345">
        <v>2278</v>
      </c>
      <c r="E38" s="393">
        <f t="shared" si="0"/>
        <v>137.28</v>
      </c>
      <c r="F38" s="339">
        <f t="shared" si="1"/>
        <v>137.28</v>
      </c>
      <c r="G38" s="393">
        <f t="shared" si="2"/>
        <v>274.56</v>
      </c>
      <c r="H38" s="393">
        <f t="shared" si="3"/>
        <v>9.68</v>
      </c>
      <c r="I38" s="339">
        <f t="shared" si="4"/>
        <v>9.68</v>
      </c>
      <c r="J38" s="393">
        <f t="shared" si="5"/>
        <v>19.36</v>
      </c>
      <c r="K38" s="392">
        <f t="shared" si="6"/>
        <v>137.51</v>
      </c>
      <c r="L38" s="345">
        <f t="shared" si="7"/>
        <v>137.51</v>
      </c>
      <c r="M38" s="393">
        <f t="shared" si="8"/>
        <v>275.02</v>
      </c>
      <c r="N38" s="392">
        <f t="shared" si="9"/>
        <v>136.68</v>
      </c>
      <c r="O38" s="345">
        <f t="shared" si="10"/>
        <v>136.68</v>
      </c>
      <c r="P38" s="392">
        <f t="shared" si="11"/>
        <v>273.36</v>
      </c>
      <c r="Q38" s="393">
        <f t="shared" si="12"/>
        <v>10.509999999999991</v>
      </c>
      <c r="R38" s="339">
        <f t="shared" si="13"/>
        <v>10.509999999999991</v>
      </c>
      <c r="S38" s="393">
        <f t="shared" si="14"/>
        <v>21.019999999999982</v>
      </c>
      <c r="T38" s="394" t="s">
        <v>924</v>
      </c>
      <c r="U38" s="345">
        <f t="shared" si="15"/>
        <v>2278</v>
      </c>
      <c r="V38" s="392">
        <f t="shared" si="16"/>
        <v>2278</v>
      </c>
    </row>
    <row r="39" spans="1:22" ht="14.25" x14ac:dyDescent="0.2">
      <c r="A39" s="18">
        <v>26</v>
      </c>
      <c r="B39" s="361" t="s">
        <v>914</v>
      </c>
      <c r="C39" s="345">
        <v>1003</v>
      </c>
      <c r="D39" s="345">
        <v>1169</v>
      </c>
      <c r="E39" s="393">
        <f t="shared" si="0"/>
        <v>60.18</v>
      </c>
      <c r="F39" s="339">
        <f t="shared" si="1"/>
        <v>60.18</v>
      </c>
      <c r="G39" s="393">
        <f t="shared" si="2"/>
        <v>120.36</v>
      </c>
      <c r="H39" s="393">
        <f t="shared" si="3"/>
        <v>4.97</v>
      </c>
      <c r="I39" s="339">
        <f t="shared" si="4"/>
        <v>4.97</v>
      </c>
      <c r="J39" s="393">
        <f t="shared" si="5"/>
        <v>9.94</v>
      </c>
      <c r="K39" s="392">
        <f t="shared" si="6"/>
        <v>70.569999999999993</v>
      </c>
      <c r="L39" s="345">
        <f t="shared" si="7"/>
        <v>70.569999999999993</v>
      </c>
      <c r="M39" s="393">
        <f t="shared" si="8"/>
        <v>141.13999999999999</v>
      </c>
      <c r="N39" s="392">
        <f t="shared" si="9"/>
        <v>70.14</v>
      </c>
      <c r="O39" s="345">
        <f t="shared" si="10"/>
        <v>70.14</v>
      </c>
      <c r="P39" s="393">
        <f t="shared" si="11"/>
        <v>140.28</v>
      </c>
      <c r="Q39" s="393">
        <f t="shared" si="12"/>
        <v>5.3999999999999915</v>
      </c>
      <c r="R39" s="339">
        <f t="shared" si="13"/>
        <v>5.3999999999999915</v>
      </c>
      <c r="S39" s="393">
        <f t="shared" si="14"/>
        <v>10.799999999999983</v>
      </c>
      <c r="T39" s="394" t="s">
        <v>924</v>
      </c>
      <c r="U39" s="345">
        <f t="shared" si="15"/>
        <v>1169</v>
      </c>
      <c r="V39" s="392">
        <f t="shared" si="16"/>
        <v>1169</v>
      </c>
    </row>
    <row r="40" spans="1:22" ht="15" x14ac:dyDescent="0.2">
      <c r="A40" s="18">
        <v>27</v>
      </c>
      <c r="B40" s="362" t="s">
        <v>915</v>
      </c>
      <c r="C40" s="345">
        <v>2445</v>
      </c>
      <c r="D40" s="345">
        <v>2430</v>
      </c>
      <c r="E40" s="393">
        <f t="shared" si="0"/>
        <v>146.69999999999999</v>
      </c>
      <c r="F40" s="339">
        <f t="shared" si="1"/>
        <v>146.69999999999999</v>
      </c>
      <c r="G40" s="393">
        <f t="shared" si="2"/>
        <v>293.39999999999998</v>
      </c>
      <c r="H40" s="393">
        <f t="shared" si="3"/>
        <v>10.33</v>
      </c>
      <c r="I40" s="339">
        <f t="shared" si="4"/>
        <v>10.33</v>
      </c>
      <c r="J40" s="393">
        <f t="shared" si="5"/>
        <v>20.66</v>
      </c>
      <c r="K40" s="392">
        <f t="shared" si="6"/>
        <v>146.69</v>
      </c>
      <c r="L40" s="345">
        <f t="shared" si="7"/>
        <v>146.69</v>
      </c>
      <c r="M40" s="393">
        <f t="shared" si="8"/>
        <v>293.38</v>
      </c>
      <c r="N40" s="392">
        <f t="shared" si="9"/>
        <v>145.80000000000001</v>
      </c>
      <c r="O40" s="345">
        <f t="shared" si="10"/>
        <v>145.80000000000001</v>
      </c>
      <c r="P40" s="392">
        <f t="shared" si="11"/>
        <v>291.60000000000002</v>
      </c>
      <c r="Q40" s="393">
        <f t="shared" si="12"/>
        <v>11.219999999999999</v>
      </c>
      <c r="R40" s="339">
        <f t="shared" si="13"/>
        <v>11.219999999999999</v>
      </c>
      <c r="S40" s="393">
        <f t="shared" si="14"/>
        <v>22.439999999999998</v>
      </c>
      <c r="T40" s="394" t="s">
        <v>924</v>
      </c>
      <c r="U40" s="345">
        <f t="shared" si="15"/>
        <v>2430</v>
      </c>
      <c r="V40" s="392">
        <f t="shared" si="16"/>
        <v>2430</v>
      </c>
    </row>
    <row r="41" spans="1:22" ht="14.25" x14ac:dyDescent="0.2">
      <c r="A41" s="30" t="s">
        <v>18</v>
      </c>
      <c r="B41" s="9"/>
      <c r="C41" s="395">
        <f t="shared" ref="C41:S41" si="17">SUM(C14:C40)</f>
        <v>62056</v>
      </c>
      <c r="D41" s="395">
        <f t="shared" si="17"/>
        <v>57623</v>
      </c>
      <c r="E41" s="395">
        <f t="shared" si="17"/>
        <v>3723.36</v>
      </c>
      <c r="F41" s="395">
        <f t="shared" si="17"/>
        <v>3723.36</v>
      </c>
      <c r="G41" s="395">
        <f t="shared" si="17"/>
        <v>7446.72</v>
      </c>
      <c r="H41" s="395">
        <f t="shared" si="17"/>
        <v>244.99000000000004</v>
      </c>
      <c r="I41" s="395">
        <f t="shared" si="17"/>
        <v>244.99000000000004</v>
      </c>
      <c r="J41" s="395">
        <f t="shared" si="17"/>
        <v>489.98000000000008</v>
      </c>
      <c r="K41" s="396">
        <f t="shared" si="17"/>
        <v>3478.3999999999996</v>
      </c>
      <c r="L41" s="396">
        <f t="shared" si="17"/>
        <v>3478.3999999999996</v>
      </c>
      <c r="M41" s="396">
        <f t="shared" si="17"/>
        <v>6956.7999999999993</v>
      </c>
      <c r="N41" s="396">
        <f t="shared" si="17"/>
        <v>3457.380000000001</v>
      </c>
      <c r="O41" s="396">
        <f t="shared" si="17"/>
        <v>3457.380000000001</v>
      </c>
      <c r="P41" s="396">
        <f t="shared" si="17"/>
        <v>6914.760000000002</v>
      </c>
      <c r="Q41" s="339">
        <f t="shared" si="17"/>
        <v>266.01</v>
      </c>
      <c r="R41" s="339">
        <f t="shared" si="17"/>
        <v>266.01</v>
      </c>
      <c r="S41" s="339">
        <f t="shared" si="17"/>
        <v>532.02</v>
      </c>
      <c r="T41" s="394" t="s">
        <v>924</v>
      </c>
      <c r="U41" s="345">
        <f>SUM(U14:U40)</f>
        <v>57623</v>
      </c>
      <c r="V41" s="345">
        <f>SUM(V14:V40)</f>
        <v>57623</v>
      </c>
    </row>
    <row r="46" spans="1:22" s="488" customForma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569"/>
      <c r="O46" s="569"/>
      <c r="P46" s="563"/>
      <c r="Q46" s="563"/>
      <c r="U46" s="14"/>
    </row>
    <row r="47" spans="1:22" s="488" customFormat="1" x14ac:dyDescent="0.2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810" t="s">
        <v>13</v>
      </c>
      <c r="Q47" s="810"/>
      <c r="R47" s="810"/>
      <c r="S47" s="810"/>
      <c r="T47" s="810"/>
    </row>
    <row r="48" spans="1:22" s="488" customFormat="1" x14ac:dyDescent="0.2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810" t="s">
        <v>14</v>
      </c>
      <c r="Q48" s="810"/>
      <c r="R48" s="810"/>
      <c r="S48" s="810"/>
      <c r="T48" s="810"/>
    </row>
    <row r="49" spans="1:20" s="488" customFormat="1" x14ac:dyDescent="0.2">
      <c r="O49" s="36"/>
      <c r="P49" s="810" t="s">
        <v>918</v>
      </c>
      <c r="Q49" s="810"/>
      <c r="R49" s="810"/>
      <c r="S49" s="810"/>
      <c r="T49" s="810"/>
    </row>
    <row r="50" spans="1:20" ht="15" x14ac:dyDescent="0.25">
      <c r="A50" s="492" t="s">
        <v>12</v>
      </c>
      <c r="P50" s="207" t="s">
        <v>82</v>
      </c>
      <c r="Q50" s="207"/>
      <c r="R50" s="207"/>
      <c r="S50" s="207"/>
      <c r="T50" s="207"/>
    </row>
  </sheetData>
  <mergeCells count="22">
    <mergeCell ref="P47:T47"/>
    <mergeCell ref="P48:T48"/>
    <mergeCell ref="P49:T49"/>
    <mergeCell ref="Q1:V1"/>
    <mergeCell ref="H11:J11"/>
    <mergeCell ref="Q11:S11"/>
    <mergeCell ref="A4:P4"/>
    <mergeCell ref="A3:Q3"/>
    <mergeCell ref="T11:T12"/>
    <mergeCell ref="D11:D12"/>
    <mergeCell ref="P10:V10"/>
    <mergeCell ref="C11:C12"/>
    <mergeCell ref="E11:G11"/>
    <mergeCell ref="K11:M11"/>
    <mergeCell ref="B11:B12"/>
    <mergeCell ref="N11:P11"/>
    <mergeCell ref="A11:A12"/>
    <mergeCell ref="A5:Q5"/>
    <mergeCell ref="A8:S8"/>
    <mergeCell ref="U9:V9"/>
    <mergeCell ref="V11:V12"/>
    <mergeCell ref="U11:U1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V49"/>
  <sheetViews>
    <sheetView topLeftCell="A10" zoomScale="80" zoomScaleNormal="80" zoomScaleSheetLayoutView="85" workbookViewId="0">
      <selection activeCell="A7" sqref="A7:S7"/>
    </sheetView>
  </sheetViews>
  <sheetFormatPr defaultRowHeight="12.75" x14ac:dyDescent="0.2"/>
  <cols>
    <col min="2" max="2" width="19.42578125" customWidth="1"/>
    <col min="3" max="3" width="14.7109375" customWidth="1"/>
    <col min="4" max="4" width="12.5703125" customWidth="1"/>
    <col min="5" max="7" width="9.28515625" customWidth="1"/>
    <col min="8" max="8" width="9.425781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965" t="s">
        <v>201</v>
      </c>
      <c r="R1" s="965"/>
      <c r="S1" s="965"/>
      <c r="T1" s="965"/>
      <c r="U1" s="965"/>
      <c r="V1" s="965"/>
    </row>
    <row r="3" spans="1:22" ht="15" x14ac:dyDescent="0.2">
      <c r="A3" s="932" t="s">
        <v>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</row>
    <row r="4" spans="1:22" ht="20.25" x14ac:dyDescent="0.3">
      <c r="A4" s="900" t="s">
        <v>738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44"/>
    </row>
    <row r="5" spans="1:22" ht="15.75" x14ac:dyDescent="0.25">
      <c r="A5" s="963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</row>
    <row r="6" spans="1:22" x14ac:dyDescent="0.2">
      <c r="A6" s="36"/>
      <c r="B6" s="36"/>
      <c r="C6" s="15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7" spans="1:22" ht="15.75" x14ac:dyDescent="0.25">
      <c r="A7" s="856" t="s">
        <v>810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</row>
    <row r="8" spans="1:22" ht="16.5" x14ac:dyDescent="0.3">
      <c r="A8" s="197" t="s">
        <v>917</v>
      </c>
      <c r="B8" s="197" t="s">
        <v>916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964" t="s">
        <v>219</v>
      </c>
      <c r="Q8" s="964"/>
      <c r="R8" s="964"/>
      <c r="S8" s="964"/>
      <c r="T8" s="964"/>
      <c r="U8" s="964"/>
      <c r="V8" s="964"/>
    </row>
    <row r="9" spans="1:22" x14ac:dyDescent="0.2">
      <c r="P9" s="925" t="s">
        <v>1186</v>
      </c>
      <c r="Q9" s="925"/>
      <c r="R9" s="925"/>
      <c r="S9" s="925"/>
      <c r="T9" s="925"/>
      <c r="U9" s="925"/>
      <c r="V9" s="925"/>
    </row>
    <row r="10" spans="1:22" ht="28.5" customHeight="1" x14ac:dyDescent="0.2">
      <c r="A10" s="961" t="s">
        <v>22</v>
      </c>
      <c r="B10" s="929" t="s">
        <v>199</v>
      </c>
      <c r="C10" s="929" t="s">
        <v>367</v>
      </c>
      <c r="D10" s="929" t="s">
        <v>471</v>
      </c>
      <c r="E10" s="871" t="s">
        <v>848</v>
      </c>
      <c r="F10" s="871"/>
      <c r="G10" s="871"/>
      <c r="H10" s="828" t="s">
        <v>820</v>
      </c>
      <c r="I10" s="829"/>
      <c r="J10" s="830"/>
      <c r="K10" s="879" t="s">
        <v>369</v>
      </c>
      <c r="L10" s="880"/>
      <c r="M10" s="959"/>
      <c r="N10" s="966" t="s">
        <v>152</v>
      </c>
      <c r="O10" s="967"/>
      <c r="P10" s="968"/>
      <c r="Q10" s="824" t="s">
        <v>849</v>
      </c>
      <c r="R10" s="824"/>
      <c r="S10" s="824"/>
      <c r="T10" s="929" t="s">
        <v>240</v>
      </c>
      <c r="U10" s="929" t="s">
        <v>421</v>
      </c>
      <c r="V10" s="929" t="s">
        <v>370</v>
      </c>
    </row>
    <row r="11" spans="1:22" ht="54" customHeight="1" x14ac:dyDescent="0.2">
      <c r="A11" s="962"/>
      <c r="B11" s="930"/>
      <c r="C11" s="930"/>
      <c r="D11" s="930"/>
      <c r="E11" s="5" t="s">
        <v>174</v>
      </c>
      <c r="F11" s="5" t="s">
        <v>200</v>
      </c>
      <c r="G11" s="5" t="s">
        <v>18</v>
      </c>
      <c r="H11" s="5" t="s">
        <v>174</v>
      </c>
      <c r="I11" s="5" t="s">
        <v>200</v>
      </c>
      <c r="J11" s="5" t="s">
        <v>18</v>
      </c>
      <c r="K11" s="5" t="s">
        <v>174</v>
      </c>
      <c r="L11" s="5" t="s">
        <v>200</v>
      </c>
      <c r="M11" s="5" t="s">
        <v>18</v>
      </c>
      <c r="N11" s="5" t="s">
        <v>174</v>
      </c>
      <c r="O11" s="5" t="s">
        <v>200</v>
      </c>
      <c r="P11" s="5" t="s">
        <v>18</v>
      </c>
      <c r="Q11" s="5" t="s">
        <v>228</v>
      </c>
      <c r="R11" s="5" t="s">
        <v>211</v>
      </c>
      <c r="S11" s="5" t="s">
        <v>212</v>
      </c>
      <c r="T11" s="930"/>
      <c r="U11" s="930"/>
      <c r="V11" s="930"/>
    </row>
    <row r="12" spans="1:22" x14ac:dyDescent="0.2">
      <c r="A12" s="149">
        <v>1</v>
      </c>
      <c r="B12" s="103">
        <v>2</v>
      </c>
      <c r="C12" s="8">
        <v>3</v>
      </c>
      <c r="D12" s="149">
        <v>4</v>
      </c>
      <c r="E12" s="103">
        <v>5</v>
      </c>
      <c r="F12" s="8">
        <v>6</v>
      </c>
      <c r="G12" s="149">
        <v>7</v>
      </c>
      <c r="H12" s="103">
        <v>8</v>
      </c>
      <c r="I12" s="8">
        <v>9</v>
      </c>
      <c r="J12" s="149">
        <v>10</v>
      </c>
      <c r="K12" s="103">
        <v>11</v>
      </c>
      <c r="L12" s="8">
        <v>12</v>
      </c>
      <c r="M12" s="149">
        <v>13</v>
      </c>
      <c r="N12" s="103">
        <v>14</v>
      </c>
      <c r="O12" s="8">
        <v>15</v>
      </c>
      <c r="P12" s="149">
        <v>16</v>
      </c>
      <c r="Q12" s="103">
        <v>17</v>
      </c>
      <c r="R12" s="8">
        <v>18</v>
      </c>
      <c r="S12" s="149">
        <v>19</v>
      </c>
      <c r="T12" s="103">
        <v>20</v>
      </c>
      <c r="U12" s="149">
        <v>21</v>
      </c>
      <c r="V12" s="103">
        <v>22</v>
      </c>
    </row>
    <row r="13" spans="1:22" x14ac:dyDescent="0.2">
      <c r="A13" s="18">
        <v>1</v>
      </c>
      <c r="B13" s="361" t="s">
        <v>890</v>
      </c>
      <c r="C13" s="397">
        <v>990</v>
      </c>
      <c r="D13" s="366">
        <v>899</v>
      </c>
      <c r="E13" s="379">
        <f>C13*6000/100000</f>
        <v>59.4</v>
      </c>
      <c r="F13" s="342">
        <f>E13</f>
        <v>59.4</v>
      </c>
      <c r="G13" s="340">
        <f>SUM(E13:F13)</f>
        <v>118.8</v>
      </c>
      <c r="H13" s="379">
        <f>ROUND(D13/29326*123.81,2)</f>
        <v>3.8</v>
      </c>
      <c r="I13" s="342">
        <f>H13</f>
        <v>3.8</v>
      </c>
      <c r="J13" s="340">
        <f>SUM(H13:I13)</f>
        <v>7.6</v>
      </c>
      <c r="K13" s="379">
        <f>ROUND(D13/29326*1758.03,2)</f>
        <v>53.89</v>
      </c>
      <c r="L13" s="342">
        <f>K13</f>
        <v>53.89</v>
      </c>
      <c r="M13" s="340">
        <f>SUM(K13:L13)</f>
        <v>107.78</v>
      </c>
      <c r="N13" s="379">
        <f>ROUND(D13*600*10/100000,2)</f>
        <v>53.94</v>
      </c>
      <c r="O13" s="342">
        <f>N13</f>
        <v>53.94</v>
      </c>
      <c r="P13" s="340">
        <f>SUM(N13:O13)</f>
        <v>107.88</v>
      </c>
      <c r="Q13" s="379">
        <f>H13+K13-N13</f>
        <v>3.75</v>
      </c>
      <c r="R13" s="342">
        <f>Q13</f>
        <v>3.75</v>
      </c>
      <c r="S13" s="340">
        <f>SUM(Q13:R13)</f>
        <v>7.5</v>
      </c>
      <c r="T13" s="103" t="s">
        <v>925</v>
      </c>
      <c r="U13" s="366">
        <f>D13</f>
        <v>899</v>
      </c>
      <c r="V13" s="367">
        <f>D13</f>
        <v>899</v>
      </c>
    </row>
    <row r="14" spans="1:22" x14ac:dyDescent="0.2">
      <c r="A14" s="18">
        <v>2</v>
      </c>
      <c r="B14" s="361" t="s">
        <v>891</v>
      </c>
      <c r="C14" s="366">
        <v>1735</v>
      </c>
      <c r="D14" s="366">
        <v>1597</v>
      </c>
      <c r="E14" s="379">
        <f t="shared" ref="E14:E39" si="0">C14*600/100000</f>
        <v>10.41</v>
      </c>
      <c r="F14" s="342">
        <f t="shared" ref="F14:F39" si="1">E14</f>
        <v>10.41</v>
      </c>
      <c r="G14" s="340">
        <f t="shared" ref="G14:G39" si="2">SUM(E14:F14)</f>
        <v>20.82</v>
      </c>
      <c r="H14" s="379">
        <f t="shared" ref="H14:H39" si="3">ROUND(D14/29326*123.81,2)</f>
        <v>6.74</v>
      </c>
      <c r="I14" s="342">
        <f t="shared" ref="I14:I39" si="4">H14</f>
        <v>6.74</v>
      </c>
      <c r="J14" s="340">
        <f t="shared" ref="J14:J39" si="5">SUM(H14:I14)</f>
        <v>13.48</v>
      </c>
      <c r="K14" s="379">
        <f t="shared" ref="K14:K38" si="6">ROUND(D14/29326*1758.03,2)</f>
        <v>95.74</v>
      </c>
      <c r="L14" s="342">
        <f t="shared" ref="L14:L39" si="7">K14</f>
        <v>95.74</v>
      </c>
      <c r="M14" s="340">
        <f t="shared" ref="M14:M39" si="8">SUM(K14:L14)</f>
        <v>191.48</v>
      </c>
      <c r="N14" s="379">
        <f t="shared" ref="N14:N39" si="9">ROUND(D14*600*10/100000,2)</f>
        <v>95.82</v>
      </c>
      <c r="O14" s="342">
        <f t="shared" ref="O14:O39" si="10">N14</f>
        <v>95.82</v>
      </c>
      <c r="P14" s="340">
        <f t="shared" ref="P14:P39" si="11">SUM(N14:O14)</f>
        <v>191.64</v>
      </c>
      <c r="Q14" s="379">
        <f t="shared" ref="Q14:Q39" si="12">H14+K14-N14</f>
        <v>6.6599999999999966</v>
      </c>
      <c r="R14" s="342">
        <f t="shared" ref="R14:R39" si="13">Q14</f>
        <v>6.6599999999999966</v>
      </c>
      <c r="S14" s="340">
        <f t="shared" ref="S14:S39" si="14">SUM(Q14:R14)</f>
        <v>13.319999999999993</v>
      </c>
      <c r="T14" s="103" t="s">
        <v>925</v>
      </c>
      <c r="U14" s="366">
        <f t="shared" ref="U14:U39" si="15">D14</f>
        <v>1597</v>
      </c>
      <c r="V14" s="367">
        <f t="shared" ref="V14:V39" si="16">D14</f>
        <v>1597</v>
      </c>
    </row>
    <row r="15" spans="1:22" x14ac:dyDescent="0.2">
      <c r="A15" s="18">
        <v>3</v>
      </c>
      <c r="B15" s="361" t="s">
        <v>892</v>
      </c>
      <c r="C15" s="366">
        <v>1208</v>
      </c>
      <c r="D15" s="366">
        <v>1166</v>
      </c>
      <c r="E15" s="379">
        <f t="shared" si="0"/>
        <v>7.2480000000000002</v>
      </c>
      <c r="F15" s="342">
        <f t="shared" si="1"/>
        <v>7.2480000000000002</v>
      </c>
      <c r="G15" s="340">
        <f t="shared" si="2"/>
        <v>14.496</v>
      </c>
      <c r="H15" s="379">
        <f t="shared" si="3"/>
        <v>4.92</v>
      </c>
      <c r="I15" s="342">
        <f t="shared" si="4"/>
        <v>4.92</v>
      </c>
      <c r="J15" s="340">
        <f t="shared" si="5"/>
        <v>9.84</v>
      </c>
      <c r="K15" s="379">
        <f t="shared" si="6"/>
        <v>69.900000000000006</v>
      </c>
      <c r="L15" s="342">
        <f t="shared" si="7"/>
        <v>69.900000000000006</v>
      </c>
      <c r="M15" s="340">
        <f t="shared" si="8"/>
        <v>139.80000000000001</v>
      </c>
      <c r="N15" s="379">
        <f t="shared" si="9"/>
        <v>69.959999999999994</v>
      </c>
      <c r="O15" s="342">
        <f t="shared" si="10"/>
        <v>69.959999999999994</v>
      </c>
      <c r="P15" s="340">
        <f t="shared" si="11"/>
        <v>139.91999999999999</v>
      </c>
      <c r="Q15" s="379">
        <f t="shared" si="12"/>
        <v>4.8600000000000136</v>
      </c>
      <c r="R15" s="342">
        <f t="shared" si="13"/>
        <v>4.8600000000000136</v>
      </c>
      <c r="S15" s="340">
        <f t="shared" si="14"/>
        <v>9.7200000000000273</v>
      </c>
      <c r="T15" s="103" t="s">
        <v>925</v>
      </c>
      <c r="U15" s="366">
        <f t="shared" si="15"/>
        <v>1166</v>
      </c>
      <c r="V15" s="367">
        <f t="shared" si="16"/>
        <v>1166</v>
      </c>
    </row>
    <row r="16" spans="1:22" x14ac:dyDescent="0.2">
      <c r="A16" s="18">
        <v>4</v>
      </c>
      <c r="B16" s="361" t="s">
        <v>893</v>
      </c>
      <c r="C16" s="366">
        <v>1291</v>
      </c>
      <c r="D16" s="366">
        <v>1203</v>
      </c>
      <c r="E16" s="379">
        <f t="shared" si="0"/>
        <v>7.7460000000000004</v>
      </c>
      <c r="F16" s="342">
        <f t="shared" si="1"/>
        <v>7.7460000000000004</v>
      </c>
      <c r="G16" s="340">
        <f t="shared" si="2"/>
        <v>15.492000000000001</v>
      </c>
      <c r="H16" s="379">
        <f t="shared" si="3"/>
        <v>5.08</v>
      </c>
      <c r="I16" s="342">
        <f t="shared" si="4"/>
        <v>5.08</v>
      </c>
      <c r="J16" s="340">
        <f t="shared" si="5"/>
        <v>10.16</v>
      </c>
      <c r="K16" s="379">
        <f t="shared" si="6"/>
        <v>72.12</v>
      </c>
      <c r="L16" s="342">
        <f t="shared" si="7"/>
        <v>72.12</v>
      </c>
      <c r="M16" s="340">
        <f t="shared" si="8"/>
        <v>144.24</v>
      </c>
      <c r="N16" s="379">
        <f t="shared" si="9"/>
        <v>72.180000000000007</v>
      </c>
      <c r="O16" s="342">
        <f t="shared" si="10"/>
        <v>72.180000000000007</v>
      </c>
      <c r="P16" s="340">
        <f t="shared" si="11"/>
        <v>144.36000000000001</v>
      </c>
      <c r="Q16" s="379">
        <f t="shared" si="12"/>
        <v>5.019999999999996</v>
      </c>
      <c r="R16" s="342">
        <f t="shared" si="13"/>
        <v>5.019999999999996</v>
      </c>
      <c r="S16" s="340">
        <f t="shared" si="14"/>
        <v>10.039999999999992</v>
      </c>
      <c r="T16" s="103" t="s">
        <v>925</v>
      </c>
      <c r="U16" s="366">
        <f t="shared" si="15"/>
        <v>1203</v>
      </c>
      <c r="V16" s="367">
        <f t="shared" si="16"/>
        <v>1203</v>
      </c>
    </row>
    <row r="17" spans="1:22" x14ac:dyDescent="0.2">
      <c r="A17" s="18">
        <v>5</v>
      </c>
      <c r="B17" s="361" t="s">
        <v>894</v>
      </c>
      <c r="C17" s="366">
        <v>1088</v>
      </c>
      <c r="D17" s="366">
        <v>1004</v>
      </c>
      <c r="E17" s="379">
        <f t="shared" si="0"/>
        <v>6.5279999999999996</v>
      </c>
      <c r="F17" s="342">
        <f t="shared" si="1"/>
        <v>6.5279999999999996</v>
      </c>
      <c r="G17" s="340">
        <f t="shared" si="2"/>
        <v>13.055999999999999</v>
      </c>
      <c r="H17" s="379">
        <f t="shared" si="3"/>
        <v>4.24</v>
      </c>
      <c r="I17" s="342">
        <f t="shared" si="4"/>
        <v>4.24</v>
      </c>
      <c r="J17" s="340">
        <f t="shared" si="5"/>
        <v>8.48</v>
      </c>
      <c r="K17" s="379">
        <f t="shared" si="6"/>
        <v>60.19</v>
      </c>
      <c r="L17" s="342">
        <f t="shared" si="7"/>
        <v>60.19</v>
      </c>
      <c r="M17" s="340">
        <f t="shared" si="8"/>
        <v>120.38</v>
      </c>
      <c r="N17" s="379">
        <f t="shared" si="9"/>
        <v>60.24</v>
      </c>
      <c r="O17" s="342">
        <f t="shared" si="10"/>
        <v>60.24</v>
      </c>
      <c r="P17" s="340">
        <f t="shared" si="11"/>
        <v>120.48</v>
      </c>
      <c r="Q17" s="379">
        <f t="shared" si="12"/>
        <v>4.1899999999999906</v>
      </c>
      <c r="R17" s="342">
        <f t="shared" si="13"/>
        <v>4.1899999999999906</v>
      </c>
      <c r="S17" s="340">
        <f t="shared" si="14"/>
        <v>8.3799999999999812</v>
      </c>
      <c r="T17" s="103" t="s">
        <v>925</v>
      </c>
      <c r="U17" s="366">
        <f t="shared" si="15"/>
        <v>1004</v>
      </c>
      <c r="V17" s="367">
        <f t="shared" si="16"/>
        <v>1004</v>
      </c>
    </row>
    <row r="18" spans="1:22" x14ac:dyDescent="0.2">
      <c r="A18" s="18">
        <v>6</v>
      </c>
      <c r="B18" s="361" t="s">
        <v>895</v>
      </c>
      <c r="C18" s="366">
        <v>322</v>
      </c>
      <c r="D18" s="366">
        <v>337</v>
      </c>
      <c r="E18" s="379">
        <f t="shared" si="0"/>
        <v>1.9319999999999999</v>
      </c>
      <c r="F18" s="342">
        <f t="shared" si="1"/>
        <v>1.9319999999999999</v>
      </c>
      <c r="G18" s="340">
        <f t="shared" si="2"/>
        <v>3.8639999999999999</v>
      </c>
      <c r="H18" s="379">
        <f t="shared" si="3"/>
        <v>1.42</v>
      </c>
      <c r="I18" s="342">
        <f t="shared" si="4"/>
        <v>1.42</v>
      </c>
      <c r="J18" s="340">
        <f t="shared" si="5"/>
        <v>2.84</v>
      </c>
      <c r="K18" s="379">
        <f t="shared" si="6"/>
        <v>20.2</v>
      </c>
      <c r="L18" s="342">
        <f t="shared" si="7"/>
        <v>20.2</v>
      </c>
      <c r="M18" s="340">
        <f t="shared" si="8"/>
        <v>40.4</v>
      </c>
      <c r="N18" s="379">
        <f t="shared" si="9"/>
        <v>20.22</v>
      </c>
      <c r="O18" s="342">
        <f t="shared" si="10"/>
        <v>20.22</v>
      </c>
      <c r="P18" s="340">
        <f t="shared" si="11"/>
        <v>40.44</v>
      </c>
      <c r="Q18" s="379">
        <f t="shared" si="12"/>
        <v>1.3999999999999986</v>
      </c>
      <c r="R18" s="342">
        <f t="shared" si="13"/>
        <v>1.3999999999999986</v>
      </c>
      <c r="S18" s="340">
        <f t="shared" si="14"/>
        <v>2.7999999999999972</v>
      </c>
      <c r="T18" s="103" t="s">
        <v>925</v>
      </c>
      <c r="U18" s="366">
        <f t="shared" si="15"/>
        <v>337</v>
      </c>
      <c r="V18" s="367">
        <f t="shared" si="16"/>
        <v>337</v>
      </c>
    </row>
    <row r="19" spans="1:22" x14ac:dyDescent="0.2">
      <c r="A19" s="18">
        <v>7</v>
      </c>
      <c r="B19" s="361" t="s">
        <v>896</v>
      </c>
      <c r="C19" s="366">
        <v>2247</v>
      </c>
      <c r="D19" s="366">
        <v>2001</v>
      </c>
      <c r="E19" s="379">
        <f t="shared" si="0"/>
        <v>13.481999999999999</v>
      </c>
      <c r="F19" s="342">
        <f t="shared" si="1"/>
        <v>13.481999999999999</v>
      </c>
      <c r="G19" s="340">
        <f t="shared" si="2"/>
        <v>26.963999999999999</v>
      </c>
      <c r="H19" s="379">
        <f t="shared" si="3"/>
        <v>8.4499999999999993</v>
      </c>
      <c r="I19" s="342">
        <f t="shared" si="4"/>
        <v>8.4499999999999993</v>
      </c>
      <c r="J19" s="340">
        <f t="shared" si="5"/>
        <v>16.899999999999999</v>
      </c>
      <c r="K19" s="379">
        <f t="shared" si="6"/>
        <v>119.96</v>
      </c>
      <c r="L19" s="342">
        <f t="shared" si="7"/>
        <v>119.96</v>
      </c>
      <c r="M19" s="340">
        <f t="shared" si="8"/>
        <v>239.92</v>
      </c>
      <c r="N19" s="379">
        <f t="shared" si="9"/>
        <v>120.06</v>
      </c>
      <c r="O19" s="342">
        <f t="shared" si="10"/>
        <v>120.06</v>
      </c>
      <c r="P19" s="340">
        <f t="shared" si="11"/>
        <v>240.12</v>
      </c>
      <c r="Q19" s="379">
        <f t="shared" si="12"/>
        <v>8.3499999999999943</v>
      </c>
      <c r="R19" s="342">
        <f t="shared" si="13"/>
        <v>8.3499999999999943</v>
      </c>
      <c r="S19" s="340">
        <f t="shared" si="14"/>
        <v>16.699999999999989</v>
      </c>
      <c r="T19" s="103" t="s">
        <v>925</v>
      </c>
      <c r="U19" s="366">
        <f t="shared" si="15"/>
        <v>2001</v>
      </c>
      <c r="V19" s="367">
        <f t="shared" si="16"/>
        <v>2001</v>
      </c>
    </row>
    <row r="20" spans="1:22" x14ac:dyDescent="0.2">
      <c r="A20" s="18">
        <v>8</v>
      </c>
      <c r="B20" s="361" t="s">
        <v>897</v>
      </c>
      <c r="C20" s="366">
        <v>344</v>
      </c>
      <c r="D20" s="366">
        <v>368</v>
      </c>
      <c r="E20" s="379">
        <f t="shared" si="0"/>
        <v>2.0640000000000001</v>
      </c>
      <c r="F20" s="342">
        <f t="shared" si="1"/>
        <v>2.0640000000000001</v>
      </c>
      <c r="G20" s="340">
        <f t="shared" si="2"/>
        <v>4.1280000000000001</v>
      </c>
      <c r="H20" s="379">
        <f t="shared" si="3"/>
        <v>1.55</v>
      </c>
      <c r="I20" s="342">
        <f t="shared" si="4"/>
        <v>1.55</v>
      </c>
      <c r="J20" s="340">
        <f t="shared" si="5"/>
        <v>3.1</v>
      </c>
      <c r="K20" s="379">
        <f t="shared" si="6"/>
        <v>22.06</v>
      </c>
      <c r="L20" s="342">
        <f t="shared" si="7"/>
        <v>22.06</v>
      </c>
      <c r="M20" s="340">
        <f t="shared" si="8"/>
        <v>44.12</v>
      </c>
      <c r="N20" s="379">
        <f t="shared" si="9"/>
        <v>22.08</v>
      </c>
      <c r="O20" s="342">
        <f t="shared" si="10"/>
        <v>22.08</v>
      </c>
      <c r="P20" s="340">
        <f t="shared" si="11"/>
        <v>44.16</v>
      </c>
      <c r="Q20" s="379">
        <f t="shared" si="12"/>
        <v>1.5300000000000011</v>
      </c>
      <c r="R20" s="342">
        <f t="shared" si="13"/>
        <v>1.5300000000000011</v>
      </c>
      <c r="S20" s="340">
        <f t="shared" si="14"/>
        <v>3.0600000000000023</v>
      </c>
      <c r="T20" s="103" t="s">
        <v>925</v>
      </c>
      <c r="U20" s="366">
        <f t="shared" si="15"/>
        <v>368</v>
      </c>
      <c r="V20" s="367">
        <f t="shared" si="16"/>
        <v>368</v>
      </c>
    </row>
    <row r="21" spans="1:22" x14ac:dyDescent="0.2">
      <c r="A21" s="18">
        <v>9</v>
      </c>
      <c r="B21" s="361" t="s">
        <v>898</v>
      </c>
      <c r="C21" s="366">
        <v>1045</v>
      </c>
      <c r="D21" s="366">
        <v>930</v>
      </c>
      <c r="E21" s="379">
        <f t="shared" si="0"/>
        <v>6.27</v>
      </c>
      <c r="F21" s="342">
        <f t="shared" si="1"/>
        <v>6.27</v>
      </c>
      <c r="G21" s="340">
        <f t="shared" si="2"/>
        <v>12.54</v>
      </c>
      <c r="H21" s="379">
        <f t="shared" si="3"/>
        <v>3.93</v>
      </c>
      <c r="I21" s="342">
        <f t="shared" si="4"/>
        <v>3.93</v>
      </c>
      <c r="J21" s="340">
        <f t="shared" si="5"/>
        <v>7.86</v>
      </c>
      <c r="K21" s="379">
        <f t="shared" si="6"/>
        <v>55.75</v>
      </c>
      <c r="L21" s="342">
        <f t="shared" si="7"/>
        <v>55.75</v>
      </c>
      <c r="M21" s="340">
        <f t="shared" si="8"/>
        <v>111.5</v>
      </c>
      <c r="N21" s="379">
        <f t="shared" si="9"/>
        <v>55.8</v>
      </c>
      <c r="O21" s="342">
        <f t="shared" si="10"/>
        <v>55.8</v>
      </c>
      <c r="P21" s="340">
        <f t="shared" si="11"/>
        <v>111.6</v>
      </c>
      <c r="Q21" s="379">
        <f t="shared" si="12"/>
        <v>3.8800000000000026</v>
      </c>
      <c r="R21" s="342">
        <f t="shared" si="13"/>
        <v>3.8800000000000026</v>
      </c>
      <c r="S21" s="340">
        <f t="shared" si="14"/>
        <v>7.7600000000000051</v>
      </c>
      <c r="T21" s="103" t="s">
        <v>925</v>
      </c>
      <c r="U21" s="366">
        <f t="shared" si="15"/>
        <v>930</v>
      </c>
      <c r="V21" s="367">
        <f t="shared" si="16"/>
        <v>930</v>
      </c>
    </row>
    <row r="22" spans="1:22" x14ac:dyDescent="0.2">
      <c r="A22" s="18">
        <v>10</v>
      </c>
      <c r="B22" s="361" t="s">
        <v>899</v>
      </c>
      <c r="C22" s="366">
        <v>1011</v>
      </c>
      <c r="D22" s="366">
        <v>951</v>
      </c>
      <c r="E22" s="379">
        <f t="shared" si="0"/>
        <v>6.0659999999999998</v>
      </c>
      <c r="F22" s="342">
        <f t="shared" si="1"/>
        <v>6.0659999999999998</v>
      </c>
      <c r="G22" s="340">
        <f t="shared" si="2"/>
        <v>12.132</v>
      </c>
      <c r="H22" s="379">
        <f t="shared" si="3"/>
        <v>4.01</v>
      </c>
      <c r="I22" s="342">
        <f t="shared" si="4"/>
        <v>4.01</v>
      </c>
      <c r="J22" s="340">
        <f t="shared" si="5"/>
        <v>8.02</v>
      </c>
      <c r="K22" s="379">
        <f t="shared" si="6"/>
        <v>57.01</v>
      </c>
      <c r="L22" s="342">
        <f t="shared" si="7"/>
        <v>57.01</v>
      </c>
      <c r="M22" s="340">
        <f t="shared" si="8"/>
        <v>114.02</v>
      </c>
      <c r="N22" s="379">
        <f t="shared" si="9"/>
        <v>57.06</v>
      </c>
      <c r="O22" s="342">
        <f t="shared" si="10"/>
        <v>57.06</v>
      </c>
      <c r="P22" s="340">
        <f t="shared" si="11"/>
        <v>114.12</v>
      </c>
      <c r="Q22" s="379">
        <f t="shared" si="12"/>
        <v>3.9599999999999937</v>
      </c>
      <c r="R22" s="342">
        <f t="shared" si="13"/>
        <v>3.9599999999999937</v>
      </c>
      <c r="S22" s="340">
        <f t="shared" si="14"/>
        <v>7.9199999999999875</v>
      </c>
      <c r="T22" s="103" t="s">
        <v>925</v>
      </c>
      <c r="U22" s="366">
        <f t="shared" si="15"/>
        <v>951</v>
      </c>
      <c r="V22" s="367">
        <f t="shared" si="16"/>
        <v>951</v>
      </c>
    </row>
    <row r="23" spans="1:22" x14ac:dyDescent="0.2">
      <c r="A23" s="18">
        <v>11</v>
      </c>
      <c r="B23" s="361" t="s">
        <v>900</v>
      </c>
      <c r="C23" s="366">
        <v>931</v>
      </c>
      <c r="D23" s="366">
        <v>901</v>
      </c>
      <c r="E23" s="379">
        <f t="shared" si="0"/>
        <v>5.5860000000000003</v>
      </c>
      <c r="F23" s="342">
        <f t="shared" si="1"/>
        <v>5.5860000000000003</v>
      </c>
      <c r="G23" s="340">
        <f t="shared" si="2"/>
        <v>11.172000000000001</v>
      </c>
      <c r="H23" s="379">
        <f t="shared" si="3"/>
        <v>3.8</v>
      </c>
      <c r="I23" s="342">
        <f t="shared" si="4"/>
        <v>3.8</v>
      </c>
      <c r="J23" s="340">
        <f t="shared" si="5"/>
        <v>7.6</v>
      </c>
      <c r="K23" s="379">
        <f t="shared" si="6"/>
        <v>54.01</v>
      </c>
      <c r="L23" s="342">
        <f t="shared" si="7"/>
        <v>54.01</v>
      </c>
      <c r="M23" s="340">
        <f t="shared" si="8"/>
        <v>108.02</v>
      </c>
      <c r="N23" s="379">
        <f t="shared" si="9"/>
        <v>54.06</v>
      </c>
      <c r="O23" s="342">
        <f t="shared" si="10"/>
        <v>54.06</v>
      </c>
      <c r="P23" s="340">
        <f t="shared" si="11"/>
        <v>108.12</v>
      </c>
      <c r="Q23" s="379">
        <f t="shared" si="12"/>
        <v>3.7499999999999929</v>
      </c>
      <c r="R23" s="342">
        <f t="shared" si="13"/>
        <v>3.7499999999999929</v>
      </c>
      <c r="S23" s="340">
        <f t="shared" si="14"/>
        <v>7.4999999999999858</v>
      </c>
      <c r="T23" s="103" t="s">
        <v>925</v>
      </c>
      <c r="U23" s="366">
        <f t="shared" si="15"/>
        <v>901</v>
      </c>
      <c r="V23" s="367">
        <f t="shared" si="16"/>
        <v>901</v>
      </c>
    </row>
    <row r="24" spans="1:22" x14ac:dyDescent="0.2">
      <c r="A24" s="18">
        <v>12</v>
      </c>
      <c r="B24" s="361" t="s">
        <v>901</v>
      </c>
      <c r="C24" s="391">
        <v>1888</v>
      </c>
      <c r="D24" s="391">
        <v>1771</v>
      </c>
      <c r="E24" s="379">
        <f t="shared" si="0"/>
        <v>11.327999999999999</v>
      </c>
      <c r="F24" s="342">
        <f t="shared" si="1"/>
        <v>11.327999999999999</v>
      </c>
      <c r="G24" s="340">
        <f t="shared" si="2"/>
        <v>22.655999999999999</v>
      </c>
      <c r="H24" s="379">
        <f t="shared" si="3"/>
        <v>7.48</v>
      </c>
      <c r="I24" s="342">
        <f t="shared" si="4"/>
        <v>7.48</v>
      </c>
      <c r="J24" s="340">
        <f t="shared" si="5"/>
        <v>14.96</v>
      </c>
      <c r="K24" s="379">
        <f t="shared" si="6"/>
        <v>106.17</v>
      </c>
      <c r="L24" s="342">
        <f t="shared" si="7"/>
        <v>106.17</v>
      </c>
      <c r="M24" s="340">
        <f t="shared" si="8"/>
        <v>212.34</v>
      </c>
      <c r="N24" s="379">
        <f t="shared" si="9"/>
        <v>106.26</v>
      </c>
      <c r="O24" s="342">
        <f t="shared" si="10"/>
        <v>106.26</v>
      </c>
      <c r="P24" s="340">
        <f t="shared" si="11"/>
        <v>212.52</v>
      </c>
      <c r="Q24" s="379">
        <f t="shared" si="12"/>
        <v>7.3900000000000006</v>
      </c>
      <c r="R24" s="342">
        <f t="shared" si="13"/>
        <v>7.3900000000000006</v>
      </c>
      <c r="S24" s="340">
        <f t="shared" si="14"/>
        <v>14.780000000000001</v>
      </c>
      <c r="T24" s="103" t="s">
        <v>925</v>
      </c>
      <c r="U24" s="366">
        <f t="shared" si="15"/>
        <v>1771</v>
      </c>
      <c r="V24" s="367">
        <f t="shared" si="16"/>
        <v>1771</v>
      </c>
    </row>
    <row r="25" spans="1:22" x14ac:dyDescent="0.2">
      <c r="A25" s="18">
        <v>13</v>
      </c>
      <c r="B25" s="361" t="s">
        <v>902</v>
      </c>
      <c r="C25" s="391">
        <v>1108</v>
      </c>
      <c r="D25" s="391">
        <v>1083</v>
      </c>
      <c r="E25" s="379">
        <f t="shared" si="0"/>
        <v>6.6479999999999997</v>
      </c>
      <c r="F25" s="342">
        <f t="shared" si="1"/>
        <v>6.6479999999999997</v>
      </c>
      <c r="G25" s="340">
        <f t="shared" si="2"/>
        <v>13.295999999999999</v>
      </c>
      <c r="H25" s="379">
        <f t="shared" si="3"/>
        <v>4.57</v>
      </c>
      <c r="I25" s="342">
        <f t="shared" si="4"/>
        <v>4.57</v>
      </c>
      <c r="J25" s="340">
        <f t="shared" si="5"/>
        <v>9.14</v>
      </c>
      <c r="K25" s="379">
        <f t="shared" si="6"/>
        <v>64.92</v>
      </c>
      <c r="L25" s="342">
        <f t="shared" si="7"/>
        <v>64.92</v>
      </c>
      <c r="M25" s="340">
        <f t="shared" si="8"/>
        <v>129.84</v>
      </c>
      <c r="N25" s="379">
        <f t="shared" si="9"/>
        <v>64.98</v>
      </c>
      <c r="O25" s="342">
        <f t="shared" si="10"/>
        <v>64.98</v>
      </c>
      <c r="P25" s="340">
        <f t="shared" si="11"/>
        <v>129.96</v>
      </c>
      <c r="Q25" s="379">
        <f t="shared" si="12"/>
        <v>4.5100000000000051</v>
      </c>
      <c r="R25" s="342">
        <f t="shared" si="13"/>
        <v>4.5100000000000051</v>
      </c>
      <c r="S25" s="340">
        <f t="shared" si="14"/>
        <v>9.0200000000000102</v>
      </c>
      <c r="T25" s="103" t="s">
        <v>925</v>
      </c>
      <c r="U25" s="366">
        <f t="shared" si="15"/>
        <v>1083</v>
      </c>
      <c r="V25" s="367">
        <f t="shared" si="16"/>
        <v>1083</v>
      </c>
    </row>
    <row r="26" spans="1:22" ht="16.5" customHeight="1" x14ac:dyDescent="0.2">
      <c r="A26" s="18">
        <v>14</v>
      </c>
      <c r="B26" s="361" t="s">
        <v>903</v>
      </c>
      <c r="C26" s="391">
        <v>1248</v>
      </c>
      <c r="D26" s="391">
        <v>1167</v>
      </c>
      <c r="E26" s="379">
        <f t="shared" si="0"/>
        <v>7.4880000000000004</v>
      </c>
      <c r="F26" s="342">
        <f t="shared" si="1"/>
        <v>7.4880000000000004</v>
      </c>
      <c r="G26" s="340">
        <f t="shared" si="2"/>
        <v>14.976000000000001</v>
      </c>
      <c r="H26" s="379">
        <f t="shared" si="3"/>
        <v>4.93</v>
      </c>
      <c r="I26" s="342">
        <f t="shared" si="4"/>
        <v>4.93</v>
      </c>
      <c r="J26" s="340">
        <f t="shared" si="5"/>
        <v>9.86</v>
      </c>
      <c r="K26" s="379">
        <f t="shared" si="6"/>
        <v>69.959999999999994</v>
      </c>
      <c r="L26" s="342">
        <f t="shared" si="7"/>
        <v>69.959999999999994</v>
      </c>
      <c r="M26" s="340">
        <f t="shared" si="8"/>
        <v>139.91999999999999</v>
      </c>
      <c r="N26" s="379">
        <f t="shared" si="9"/>
        <v>70.02</v>
      </c>
      <c r="O26" s="342">
        <f t="shared" si="10"/>
        <v>70.02</v>
      </c>
      <c r="P26" s="340">
        <f t="shared" si="11"/>
        <v>140.04</v>
      </c>
      <c r="Q26" s="379">
        <f t="shared" si="12"/>
        <v>4.8699999999999903</v>
      </c>
      <c r="R26" s="342">
        <f t="shared" si="13"/>
        <v>4.8699999999999903</v>
      </c>
      <c r="S26" s="340">
        <f t="shared" si="14"/>
        <v>9.7399999999999807</v>
      </c>
      <c r="T26" s="103" t="s">
        <v>925</v>
      </c>
      <c r="U26" s="366">
        <f t="shared" si="15"/>
        <v>1167</v>
      </c>
      <c r="V26" s="367">
        <f t="shared" si="16"/>
        <v>1167</v>
      </c>
    </row>
    <row r="27" spans="1:22" x14ac:dyDescent="0.2">
      <c r="A27" s="18">
        <v>15</v>
      </c>
      <c r="B27" s="361" t="s">
        <v>904</v>
      </c>
      <c r="C27" s="391">
        <v>1244</v>
      </c>
      <c r="D27" s="391">
        <v>1125</v>
      </c>
      <c r="E27" s="379">
        <f t="shared" si="0"/>
        <v>7.4640000000000004</v>
      </c>
      <c r="F27" s="342">
        <f t="shared" si="1"/>
        <v>7.4640000000000004</v>
      </c>
      <c r="G27" s="340">
        <f t="shared" si="2"/>
        <v>14.928000000000001</v>
      </c>
      <c r="H27" s="379">
        <f t="shared" si="3"/>
        <v>4.75</v>
      </c>
      <c r="I27" s="342">
        <f t="shared" si="4"/>
        <v>4.75</v>
      </c>
      <c r="J27" s="340">
        <f t="shared" si="5"/>
        <v>9.5</v>
      </c>
      <c r="K27" s="379">
        <f t="shared" si="6"/>
        <v>67.44</v>
      </c>
      <c r="L27" s="342">
        <f t="shared" si="7"/>
        <v>67.44</v>
      </c>
      <c r="M27" s="340">
        <f t="shared" si="8"/>
        <v>134.88</v>
      </c>
      <c r="N27" s="379">
        <f t="shared" si="9"/>
        <v>67.5</v>
      </c>
      <c r="O27" s="342">
        <f t="shared" si="10"/>
        <v>67.5</v>
      </c>
      <c r="P27" s="340">
        <f t="shared" si="11"/>
        <v>135</v>
      </c>
      <c r="Q27" s="379">
        <f t="shared" si="12"/>
        <v>4.6899999999999977</v>
      </c>
      <c r="R27" s="342">
        <f t="shared" si="13"/>
        <v>4.6899999999999977</v>
      </c>
      <c r="S27" s="340">
        <f t="shared" si="14"/>
        <v>9.3799999999999955</v>
      </c>
      <c r="T27" s="103" t="s">
        <v>925</v>
      </c>
      <c r="U27" s="366">
        <f t="shared" si="15"/>
        <v>1125</v>
      </c>
      <c r="V27" s="367">
        <f t="shared" si="16"/>
        <v>1125</v>
      </c>
    </row>
    <row r="28" spans="1:22" x14ac:dyDescent="0.2">
      <c r="A28" s="18">
        <v>16</v>
      </c>
      <c r="B28" s="361" t="s">
        <v>905</v>
      </c>
      <c r="C28" s="391">
        <v>1194</v>
      </c>
      <c r="D28" s="391">
        <v>1119</v>
      </c>
      <c r="E28" s="379">
        <f t="shared" si="0"/>
        <v>7.1639999999999997</v>
      </c>
      <c r="F28" s="342">
        <f t="shared" si="1"/>
        <v>7.1639999999999997</v>
      </c>
      <c r="G28" s="340">
        <f t="shared" si="2"/>
        <v>14.327999999999999</v>
      </c>
      <c r="H28" s="379">
        <f t="shared" si="3"/>
        <v>4.72</v>
      </c>
      <c r="I28" s="342">
        <f t="shared" si="4"/>
        <v>4.72</v>
      </c>
      <c r="J28" s="340">
        <f t="shared" si="5"/>
        <v>9.44</v>
      </c>
      <c r="K28" s="379">
        <f t="shared" si="6"/>
        <v>67.08</v>
      </c>
      <c r="L28" s="342">
        <f t="shared" si="7"/>
        <v>67.08</v>
      </c>
      <c r="M28" s="340">
        <f t="shared" si="8"/>
        <v>134.16</v>
      </c>
      <c r="N28" s="379">
        <f t="shared" si="9"/>
        <v>67.14</v>
      </c>
      <c r="O28" s="342">
        <f t="shared" si="10"/>
        <v>67.14</v>
      </c>
      <c r="P28" s="340">
        <f t="shared" si="11"/>
        <v>134.28</v>
      </c>
      <c r="Q28" s="379">
        <f t="shared" si="12"/>
        <v>4.6599999999999966</v>
      </c>
      <c r="R28" s="342">
        <f t="shared" si="13"/>
        <v>4.6599999999999966</v>
      </c>
      <c r="S28" s="340">
        <f t="shared" si="14"/>
        <v>9.3199999999999932</v>
      </c>
      <c r="T28" s="103" t="s">
        <v>925</v>
      </c>
      <c r="U28" s="366">
        <f t="shared" si="15"/>
        <v>1119</v>
      </c>
      <c r="V28" s="367">
        <f t="shared" si="16"/>
        <v>1119</v>
      </c>
    </row>
    <row r="29" spans="1:22" x14ac:dyDescent="0.2">
      <c r="A29" s="18">
        <v>17</v>
      </c>
      <c r="B29" s="361" t="s">
        <v>906</v>
      </c>
      <c r="C29" s="391">
        <v>1352</v>
      </c>
      <c r="D29" s="391">
        <v>1160</v>
      </c>
      <c r="E29" s="379">
        <f t="shared" si="0"/>
        <v>8.1120000000000001</v>
      </c>
      <c r="F29" s="342">
        <f t="shared" si="1"/>
        <v>8.1120000000000001</v>
      </c>
      <c r="G29" s="340">
        <f t="shared" si="2"/>
        <v>16.224</v>
      </c>
      <c r="H29" s="379">
        <f t="shared" si="3"/>
        <v>4.9000000000000004</v>
      </c>
      <c r="I29" s="342">
        <f t="shared" si="4"/>
        <v>4.9000000000000004</v>
      </c>
      <c r="J29" s="340">
        <f t="shared" si="5"/>
        <v>9.8000000000000007</v>
      </c>
      <c r="K29" s="379">
        <f t="shared" si="6"/>
        <v>69.540000000000006</v>
      </c>
      <c r="L29" s="342">
        <f t="shared" si="7"/>
        <v>69.540000000000006</v>
      </c>
      <c r="M29" s="340">
        <f t="shared" si="8"/>
        <v>139.08000000000001</v>
      </c>
      <c r="N29" s="379">
        <f t="shared" si="9"/>
        <v>69.599999999999994</v>
      </c>
      <c r="O29" s="342">
        <f t="shared" si="10"/>
        <v>69.599999999999994</v>
      </c>
      <c r="P29" s="340">
        <f t="shared" si="11"/>
        <v>139.19999999999999</v>
      </c>
      <c r="Q29" s="379">
        <f t="shared" si="12"/>
        <v>4.8400000000000176</v>
      </c>
      <c r="R29" s="342">
        <f t="shared" si="13"/>
        <v>4.8400000000000176</v>
      </c>
      <c r="S29" s="340">
        <f t="shared" si="14"/>
        <v>9.6800000000000352</v>
      </c>
      <c r="T29" s="103" t="s">
        <v>925</v>
      </c>
      <c r="U29" s="366">
        <f t="shared" si="15"/>
        <v>1160</v>
      </c>
      <c r="V29" s="367">
        <f t="shared" si="16"/>
        <v>1160</v>
      </c>
    </row>
    <row r="30" spans="1:22" x14ac:dyDescent="0.2">
      <c r="A30" s="18">
        <v>18</v>
      </c>
      <c r="B30" s="361" t="s">
        <v>907</v>
      </c>
      <c r="C30" s="391">
        <v>830</v>
      </c>
      <c r="D30" s="391">
        <v>826</v>
      </c>
      <c r="E30" s="379">
        <f t="shared" si="0"/>
        <v>4.9800000000000004</v>
      </c>
      <c r="F30" s="342">
        <f t="shared" si="1"/>
        <v>4.9800000000000004</v>
      </c>
      <c r="G30" s="340">
        <f t="shared" si="2"/>
        <v>9.9600000000000009</v>
      </c>
      <c r="H30" s="379">
        <f t="shared" si="3"/>
        <v>3.49</v>
      </c>
      <c r="I30" s="342">
        <f t="shared" si="4"/>
        <v>3.49</v>
      </c>
      <c r="J30" s="340">
        <f t="shared" si="5"/>
        <v>6.98</v>
      </c>
      <c r="K30" s="379">
        <f t="shared" si="6"/>
        <v>49.52</v>
      </c>
      <c r="L30" s="342">
        <f t="shared" si="7"/>
        <v>49.52</v>
      </c>
      <c r="M30" s="340">
        <f t="shared" si="8"/>
        <v>99.04</v>
      </c>
      <c r="N30" s="379">
        <f t="shared" si="9"/>
        <v>49.56</v>
      </c>
      <c r="O30" s="342">
        <f t="shared" si="10"/>
        <v>49.56</v>
      </c>
      <c r="P30" s="340">
        <f t="shared" si="11"/>
        <v>99.12</v>
      </c>
      <c r="Q30" s="379">
        <f t="shared" si="12"/>
        <v>3.4500000000000028</v>
      </c>
      <c r="R30" s="342">
        <f t="shared" si="13"/>
        <v>3.4500000000000028</v>
      </c>
      <c r="S30" s="340">
        <f t="shared" si="14"/>
        <v>6.9000000000000057</v>
      </c>
      <c r="T30" s="103" t="s">
        <v>925</v>
      </c>
      <c r="U30" s="366">
        <f t="shared" si="15"/>
        <v>826</v>
      </c>
      <c r="V30" s="367">
        <f t="shared" si="16"/>
        <v>826</v>
      </c>
    </row>
    <row r="31" spans="1:22" x14ac:dyDescent="0.2">
      <c r="A31" s="18">
        <v>19</v>
      </c>
      <c r="B31" s="361" t="s">
        <v>908</v>
      </c>
      <c r="C31" s="391">
        <v>1285</v>
      </c>
      <c r="D31" s="391">
        <v>1208</v>
      </c>
      <c r="E31" s="379">
        <f t="shared" si="0"/>
        <v>7.71</v>
      </c>
      <c r="F31" s="342">
        <f t="shared" si="1"/>
        <v>7.71</v>
      </c>
      <c r="G31" s="340">
        <f t="shared" si="2"/>
        <v>15.42</v>
      </c>
      <c r="H31" s="379">
        <f t="shared" si="3"/>
        <v>5.0999999999999996</v>
      </c>
      <c r="I31" s="342">
        <f t="shared" si="4"/>
        <v>5.0999999999999996</v>
      </c>
      <c r="J31" s="340">
        <f t="shared" si="5"/>
        <v>10.199999999999999</v>
      </c>
      <c r="K31" s="379">
        <f t="shared" si="6"/>
        <v>72.42</v>
      </c>
      <c r="L31" s="342">
        <f t="shared" si="7"/>
        <v>72.42</v>
      </c>
      <c r="M31" s="340">
        <f t="shared" si="8"/>
        <v>144.84</v>
      </c>
      <c r="N31" s="379">
        <f t="shared" si="9"/>
        <v>72.48</v>
      </c>
      <c r="O31" s="342">
        <f t="shared" si="10"/>
        <v>72.48</v>
      </c>
      <c r="P31" s="340">
        <f t="shared" si="11"/>
        <v>144.96</v>
      </c>
      <c r="Q31" s="379">
        <f t="shared" si="12"/>
        <v>5.039999999999992</v>
      </c>
      <c r="R31" s="342">
        <f t="shared" si="13"/>
        <v>5.039999999999992</v>
      </c>
      <c r="S31" s="340">
        <f t="shared" si="14"/>
        <v>10.079999999999984</v>
      </c>
      <c r="T31" s="103" t="s">
        <v>925</v>
      </c>
      <c r="U31" s="366">
        <f t="shared" si="15"/>
        <v>1208</v>
      </c>
      <c r="V31" s="367">
        <f t="shared" si="16"/>
        <v>1208</v>
      </c>
    </row>
    <row r="32" spans="1:22" x14ac:dyDescent="0.2">
      <c r="A32" s="18">
        <v>20</v>
      </c>
      <c r="B32" s="361" t="s">
        <v>909</v>
      </c>
      <c r="C32" s="391">
        <v>781</v>
      </c>
      <c r="D32" s="391">
        <v>767</v>
      </c>
      <c r="E32" s="379">
        <f t="shared" si="0"/>
        <v>4.6859999999999999</v>
      </c>
      <c r="F32" s="342">
        <f t="shared" si="1"/>
        <v>4.6859999999999999</v>
      </c>
      <c r="G32" s="340">
        <f t="shared" si="2"/>
        <v>9.3719999999999999</v>
      </c>
      <c r="H32" s="379">
        <f t="shared" si="3"/>
        <v>3.24</v>
      </c>
      <c r="I32" s="342">
        <f t="shared" si="4"/>
        <v>3.24</v>
      </c>
      <c r="J32" s="340">
        <f t="shared" si="5"/>
        <v>6.48</v>
      </c>
      <c r="K32" s="379">
        <f t="shared" si="6"/>
        <v>45.98</v>
      </c>
      <c r="L32" s="342">
        <f t="shared" si="7"/>
        <v>45.98</v>
      </c>
      <c r="M32" s="340">
        <f t="shared" si="8"/>
        <v>91.96</v>
      </c>
      <c r="N32" s="379">
        <f t="shared" si="9"/>
        <v>46.02</v>
      </c>
      <c r="O32" s="342">
        <f t="shared" si="10"/>
        <v>46.02</v>
      </c>
      <c r="P32" s="340">
        <f t="shared" si="11"/>
        <v>92.04</v>
      </c>
      <c r="Q32" s="379">
        <f t="shared" si="12"/>
        <v>3.1999999999999957</v>
      </c>
      <c r="R32" s="342">
        <f t="shared" si="13"/>
        <v>3.1999999999999957</v>
      </c>
      <c r="S32" s="340">
        <f t="shared" si="14"/>
        <v>6.3999999999999915</v>
      </c>
      <c r="T32" s="103" t="s">
        <v>925</v>
      </c>
      <c r="U32" s="366">
        <f t="shared" si="15"/>
        <v>767</v>
      </c>
      <c r="V32" s="367">
        <f t="shared" si="16"/>
        <v>767</v>
      </c>
    </row>
    <row r="33" spans="1:22" x14ac:dyDescent="0.2">
      <c r="A33" s="18">
        <v>21</v>
      </c>
      <c r="B33" s="361" t="s">
        <v>910</v>
      </c>
      <c r="C33" s="391">
        <v>205</v>
      </c>
      <c r="D33" s="391">
        <v>243</v>
      </c>
      <c r="E33" s="379">
        <f t="shared" si="0"/>
        <v>1.23</v>
      </c>
      <c r="F33" s="342">
        <f t="shared" si="1"/>
        <v>1.23</v>
      </c>
      <c r="G33" s="340">
        <f t="shared" si="2"/>
        <v>2.46</v>
      </c>
      <c r="H33" s="379">
        <f t="shared" si="3"/>
        <v>1.03</v>
      </c>
      <c r="I33" s="342">
        <f t="shared" si="4"/>
        <v>1.03</v>
      </c>
      <c r="J33" s="340">
        <f t="shared" si="5"/>
        <v>2.06</v>
      </c>
      <c r="K33" s="379">
        <f t="shared" si="6"/>
        <v>14.57</v>
      </c>
      <c r="L33" s="342">
        <f t="shared" si="7"/>
        <v>14.57</v>
      </c>
      <c r="M33" s="340">
        <f t="shared" si="8"/>
        <v>29.14</v>
      </c>
      <c r="N33" s="379">
        <f t="shared" si="9"/>
        <v>14.58</v>
      </c>
      <c r="O33" s="342">
        <f t="shared" si="10"/>
        <v>14.58</v>
      </c>
      <c r="P33" s="340">
        <f t="shared" si="11"/>
        <v>29.16</v>
      </c>
      <c r="Q33" s="379">
        <f t="shared" si="12"/>
        <v>1.0199999999999996</v>
      </c>
      <c r="R33" s="342">
        <f t="shared" si="13"/>
        <v>1.0199999999999996</v>
      </c>
      <c r="S33" s="340">
        <f t="shared" si="14"/>
        <v>2.0399999999999991</v>
      </c>
      <c r="T33" s="103" t="s">
        <v>925</v>
      </c>
      <c r="U33" s="366">
        <f t="shared" si="15"/>
        <v>243</v>
      </c>
      <c r="V33" s="367">
        <f t="shared" si="16"/>
        <v>243</v>
      </c>
    </row>
    <row r="34" spans="1:22" ht="16.5" customHeight="1" x14ac:dyDescent="0.2">
      <c r="A34" s="18">
        <v>22</v>
      </c>
      <c r="B34" s="361" t="s">
        <v>911</v>
      </c>
      <c r="C34" s="391">
        <v>2004</v>
      </c>
      <c r="D34" s="391">
        <v>1799</v>
      </c>
      <c r="E34" s="379">
        <f t="shared" si="0"/>
        <v>12.023999999999999</v>
      </c>
      <c r="F34" s="342">
        <f t="shared" si="1"/>
        <v>12.023999999999999</v>
      </c>
      <c r="G34" s="340">
        <f t="shared" si="2"/>
        <v>24.047999999999998</v>
      </c>
      <c r="H34" s="379">
        <f t="shared" si="3"/>
        <v>7.6</v>
      </c>
      <c r="I34" s="342">
        <f t="shared" si="4"/>
        <v>7.6</v>
      </c>
      <c r="J34" s="340">
        <f t="shared" si="5"/>
        <v>15.2</v>
      </c>
      <c r="K34" s="379">
        <f t="shared" si="6"/>
        <v>107.85</v>
      </c>
      <c r="L34" s="342">
        <f t="shared" si="7"/>
        <v>107.85</v>
      </c>
      <c r="M34" s="340">
        <f t="shared" si="8"/>
        <v>215.7</v>
      </c>
      <c r="N34" s="379">
        <f t="shared" si="9"/>
        <v>107.94</v>
      </c>
      <c r="O34" s="342">
        <f t="shared" si="10"/>
        <v>107.94</v>
      </c>
      <c r="P34" s="340">
        <f t="shared" si="11"/>
        <v>215.88</v>
      </c>
      <c r="Q34" s="379">
        <f t="shared" si="12"/>
        <v>7.5099999999999909</v>
      </c>
      <c r="R34" s="342">
        <f t="shared" si="13"/>
        <v>7.5099999999999909</v>
      </c>
      <c r="S34" s="340">
        <f t="shared" si="14"/>
        <v>15.019999999999982</v>
      </c>
      <c r="T34" s="103" t="s">
        <v>925</v>
      </c>
      <c r="U34" s="366">
        <f t="shared" si="15"/>
        <v>1799</v>
      </c>
      <c r="V34" s="367">
        <f t="shared" si="16"/>
        <v>1799</v>
      </c>
    </row>
    <row r="35" spans="1:22" x14ac:dyDescent="0.2">
      <c r="A35" s="18">
        <v>23</v>
      </c>
      <c r="B35" s="361" t="s">
        <v>912</v>
      </c>
      <c r="C35" s="391">
        <v>1488</v>
      </c>
      <c r="D35" s="391">
        <v>1379</v>
      </c>
      <c r="E35" s="379">
        <f t="shared" si="0"/>
        <v>8.9280000000000008</v>
      </c>
      <c r="F35" s="342">
        <f t="shared" si="1"/>
        <v>8.9280000000000008</v>
      </c>
      <c r="G35" s="340">
        <f t="shared" si="2"/>
        <v>17.856000000000002</v>
      </c>
      <c r="H35" s="379">
        <f t="shared" si="3"/>
        <v>5.82</v>
      </c>
      <c r="I35" s="342">
        <f t="shared" si="4"/>
        <v>5.82</v>
      </c>
      <c r="J35" s="340">
        <f t="shared" si="5"/>
        <v>11.64</v>
      </c>
      <c r="K35" s="379">
        <f t="shared" si="6"/>
        <v>82.67</v>
      </c>
      <c r="L35" s="342">
        <f t="shared" si="7"/>
        <v>82.67</v>
      </c>
      <c r="M35" s="340">
        <f t="shared" si="8"/>
        <v>165.34</v>
      </c>
      <c r="N35" s="379">
        <f t="shared" si="9"/>
        <v>82.74</v>
      </c>
      <c r="O35" s="342">
        <f t="shared" si="10"/>
        <v>82.74</v>
      </c>
      <c r="P35" s="340">
        <f t="shared" si="11"/>
        <v>165.48</v>
      </c>
      <c r="Q35" s="379">
        <f t="shared" si="12"/>
        <v>5.7500000000000142</v>
      </c>
      <c r="R35" s="342">
        <f t="shared" si="13"/>
        <v>5.7500000000000142</v>
      </c>
      <c r="S35" s="340">
        <f t="shared" si="14"/>
        <v>11.500000000000028</v>
      </c>
      <c r="T35" s="103" t="s">
        <v>925</v>
      </c>
      <c r="U35" s="366">
        <f t="shared" si="15"/>
        <v>1379</v>
      </c>
      <c r="V35" s="367">
        <f t="shared" si="16"/>
        <v>1379</v>
      </c>
    </row>
    <row r="36" spans="1:22" x14ac:dyDescent="0.2">
      <c r="A36" s="18">
        <v>24</v>
      </c>
      <c r="B36" s="361" t="s">
        <v>913</v>
      </c>
      <c r="C36" s="391">
        <v>2005</v>
      </c>
      <c r="D36" s="391">
        <v>1806</v>
      </c>
      <c r="E36" s="379">
        <f t="shared" si="0"/>
        <v>12.03</v>
      </c>
      <c r="F36" s="342">
        <f t="shared" si="1"/>
        <v>12.03</v>
      </c>
      <c r="G36" s="340">
        <f t="shared" si="2"/>
        <v>24.06</v>
      </c>
      <c r="H36" s="379">
        <f t="shared" si="3"/>
        <v>7.62</v>
      </c>
      <c r="I36" s="342">
        <f t="shared" si="4"/>
        <v>7.62</v>
      </c>
      <c r="J36" s="340">
        <f t="shared" si="5"/>
        <v>15.24</v>
      </c>
      <c r="K36" s="379">
        <f t="shared" si="6"/>
        <v>108.27</v>
      </c>
      <c r="L36" s="342">
        <f t="shared" si="7"/>
        <v>108.27</v>
      </c>
      <c r="M36" s="340">
        <f t="shared" si="8"/>
        <v>216.54</v>
      </c>
      <c r="N36" s="379">
        <f t="shared" si="9"/>
        <v>108.36</v>
      </c>
      <c r="O36" s="342">
        <f t="shared" si="10"/>
        <v>108.36</v>
      </c>
      <c r="P36" s="340">
        <f t="shared" si="11"/>
        <v>216.72</v>
      </c>
      <c r="Q36" s="379">
        <f t="shared" si="12"/>
        <v>7.5300000000000011</v>
      </c>
      <c r="R36" s="342">
        <f t="shared" si="13"/>
        <v>7.5300000000000011</v>
      </c>
      <c r="S36" s="340">
        <f t="shared" si="14"/>
        <v>15.060000000000002</v>
      </c>
      <c r="T36" s="103" t="s">
        <v>925</v>
      </c>
      <c r="U36" s="366">
        <f t="shared" si="15"/>
        <v>1806</v>
      </c>
      <c r="V36" s="367">
        <f t="shared" si="16"/>
        <v>1806</v>
      </c>
    </row>
    <row r="37" spans="1:22" ht="16.5" customHeight="1" x14ac:dyDescent="0.2">
      <c r="A37" s="18">
        <v>25</v>
      </c>
      <c r="B37" s="361" t="s">
        <v>919</v>
      </c>
      <c r="C37" s="391">
        <v>1177</v>
      </c>
      <c r="D37" s="391">
        <v>1107</v>
      </c>
      <c r="E37" s="379">
        <f t="shared" si="0"/>
        <v>7.0620000000000003</v>
      </c>
      <c r="F37" s="342">
        <f t="shared" si="1"/>
        <v>7.0620000000000003</v>
      </c>
      <c r="G37" s="340">
        <f t="shared" si="2"/>
        <v>14.124000000000001</v>
      </c>
      <c r="H37" s="379">
        <f t="shared" si="3"/>
        <v>4.67</v>
      </c>
      <c r="I37" s="342">
        <f t="shared" si="4"/>
        <v>4.67</v>
      </c>
      <c r="J37" s="340">
        <f t="shared" si="5"/>
        <v>9.34</v>
      </c>
      <c r="K37" s="379">
        <f t="shared" si="6"/>
        <v>66.36</v>
      </c>
      <c r="L37" s="342">
        <f t="shared" si="7"/>
        <v>66.36</v>
      </c>
      <c r="M37" s="340">
        <f t="shared" si="8"/>
        <v>132.72</v>
      </c>
      <c r="N37" s="379">
        <f t="shared" si="9"/>
        <v>66.42</v>
      </c>
      <c r="O37" s="342">
        <f t="shared" si="10"/>
        <v>66.42</v>
      </c>
      <c r="P37" s="340">
        <f t="shared" si="11"/>
        <v>132.84</v>
      </c>
      <c r="Q37" s="379">
        <f t="shared" si="12"/>
        <v>4.6099999999999994</v>
      </c>
      <c r="R37" s="342">
        <f t="shared" si="13"/>
        <v>4.6099999999999994</v>
      </c>
      <c r="S37" s="340">
        <f t="shared" si="14"/>
        <v>9.2199999999999989</v>
      </c>
      <c r="T37" s="103" t="s">
        <v>925</v>
      </c>
      <c r="U37" s="366">
        <f t="shared" si="15"/>
        <v>1107</v>
      </c>
      <c r="V37" s="367">
        <f t="shared" si="16"/>
        <v>1107</v>
      </c>
    </row>
    <row r="38" spans="1:22" x14ac:dyDescent="0.2">
      <c r="A38" s="18">
        <v>26</v>
      </c>
      <c r="B38" s="361" t="s">
        <v>914</v>
      </c>
      <c r="C38" s="391">
        <v>1104</v>
      </c>
      <c r="D38" s="391">
        <v>306</v>
      </c>
      <c r="E38" s="379">
        <f t="shared" si="0"/>
        <v>6.6239999999999997</v>
      </c>
      <c r="F38" s="342">
        <f t="shared" si="1"/>
        <v>6.6239999999999997</v>
      </c>
      <c r="G38" s="340">
        <f t="shared" si="2"/>
        <v>13.247999999999999</v>
      </c>
      <c r="H38" s="379">
        <f t="shared" si="3"/>
        <v>1.29</v>
      </c>
      <c r="I38" s="342">
        <f t="shared" si="4"/>
        <v>1.29</v>
      </c>
      <c r="J38" s="340">
        <f t="shared" si="5"/>
        <v>2.58</v>
      </c>
      <c r="K38" s="379">
        <f t="shared" si="6"/>
        <v>18.34</v>
      </c>
      <c r="L38" s="342">
        <f t="shared" si="7"/>
        <v>18.34</v>
      </c>
      <c r="M38" s="340">
        <f t="shared" si="8"/>
        <v>36.68</v>
      </c>
      <c r="N38" s="379">
        <f t="shared" si="9"/>
        <v>18.36</v>
      </c>
      <c r="O38" s="342">
        <f t="shared" si="10"/>
        <v>18.36</v>
      </c>
      <c r="P38" s="340">
        <f t="shared" si="11"/>
        <v>36.72</v>
      </c>
      <c r="Q38" s="379">
        <f t="shared" si="12"/>
        <v>1.2699999999999996</v>
      </c>
      <c r="R38" s="342">
        <f t="shared" si="13"/>
        <v>1.2699999999999996</v>
      </c>
      <c r="S38" s="340">
        <f t="shared" si="14"/>
        <v>2.5399999999999991</v>
      </c>
      <c r="T38" s="103" t="s">
        <v>925</v>
      </c>
      <c r="U38" s="366">
        <f t="shared" si="15"/>
        <v>306</v>
      </c>
      <c r="V38" s="367">
        <f t="shared" si="16"/>
        <v>306</v>
      </c>
    </row>
    <row r="39" spans="1:22" ht="15" x14ac:dyDescent="0.2">
      <c r="A39" s="18">
        <v>27</v>
      </c>
      <c r="B39" s="362" t="s">
        <v>915</v>
      </c>
      <c r="C39" s="391">
        <v>239</v>
      </c>
      <c r="D39" s="391">
        <v>1103</v>
      </c>
      <c r="E39" s="379">
        <f t="shared" si="0"/>
        <v>1.4339999999999999</v>
      </c>
      <c r="F39" s="342">
        <f t="shared" si="1"/>
        <v>1.4339999999999999</v>
      </c>
      <c r="G39" s="340">
        <f t="shared" si="2"/>
        <v>2.8679999999999999</v>
      </c>
      <c r="H39" s="379">
        <f t="shared" si="3"/>
        <v>4.66</v>
      </c>
      <c r="I39" s="342">
        <f t="shared" si="4"/>
        <v>4.66</v>
      </c>
      <c r="J39" s="340">
        <f t="shared" si="5"/>
        <v>9.32</v>
      </c>
      <c r="K39" s="379">
        <v>66.11</v>
      </c>
      <c r="L39" s="342">
        <f t="shared" si="7"/>
        <v>66.11</v>
      </c>
      <c r="M39" s="340">
        <f t="shared" si="8"/>
        <v>132.22</v>
      </c>
      <c r="N39" s="379">
        <f t="shared" si="9"/>
        <v>66.180000000000007</v>
      </c>
      <c r="O39" s="342">
        <f t="shared" si="10"/>
        <v>66.180000000000007</v>
      </c>
      <c r="P39" s="340">
        <f t="shared" si="11"/>
        <v>132.36000000000001</v>
      </c>
      <c r="Q39" s="379">
        <f t="shared" si="12"/>
        <v>4.5899999999999892</v>
      </c>
      <c r="R39" s="342">
        <f t="shared" si="13"/>
        <v>4.5899999999999892</v>
      </c>
      <c r="S39" s="340">
        <f t="shared" si="14"/>
        <v>9.1799999999999784</v>
      </c>
      <c r="T39" s="103" t="s">
        <v>925</v>
      </c>
      <c r="U39" s="366">
        <f t="shared" si="15"/>
        <v>1103</v>
      </c>
      <c r="V39" s="367">
        <f t="shared" si="16"/>
        <v>1103</v>
      </c>
    </row>
    <row r="40" spans="1:22" x14ac:dyDescent="0.2">
      <c r="A40" s="30" t="s">
        <v>18</v>
      </c>
      <c r="B40" s="9"/>
      <c r="C40" s="333">
        <f t="shared" ref="C40:S40" si="17">SUM(C13:C39)</f>
        <v>31364</v>
      </c>
      <c r="D40" s="333">
        <f t="shared" si="17"/>
        <v>29326</v>
      </c>
      <c r="E40" s="333">
        <f t="shared" si="17"/>
        <v>241.64399999999998</v>
      </c>
      <c r="F40" s="333">
        <f t="shared" si="17"/>
        <v>241.64399999999998</v>
      </c>
      <c r="G40" s="333">
        <f t="shared" si="17"/>
        <v>483.28799999999995</v>
      </c>
      <c r="H40" s="342">
        <f t="shared" si="17"/>
        <v>123.81</v>
      </c>
      <c r="I40" s="342">
        <f t="shared" si="17"/>
        <v>123.81</v>
      </c>
      <c r="J40" s="342">
        <f t="shared" si="17"/>
        <v>247.62</v>
      </c>
      <c r="K40" s="342">
        <f t="shared" si="17"/>
        <v>1758.0299999999995</v>
      </c>
      <c r="L40" s="342">
        <f t="shared" si="17"/>
        <v>1758.0299999999995</v>
      </c>
      <c r="M40" s="342">
        <f t="shared" si="17"/>
        <v>3516.059999999999</v>
      </c>
      <c r="N40" s="342">
        <f t="shared" si="17"/>
        <v>1759.5599999999997</v>
      </c>
      <c r="O40" s="342">
        <f t="shared" si="17"/>
        <v>1759.5599999999997</v>
      </c>
      <c r="P40" s="342">
        <f t="shared" si="17"/>
        <v>3519.1199999999994</v>
      </c>
      <c r="Q40" s="342">
        <f t="shared" si="17"/>
        <v>122.27999999999996</v>
      </c>
      <c r="R40" s="342">
        <f t="shared" si="17"/>
        <v>122.27999999999996</v>
      </c>
      <c r="S40" s="342">
        <f t="shared" si="17"/>
        <v>244.55999999999992</v>
      </c>
      <c r="T40" s="103" t="s">
        <v>925</v>
      </c>
      <c r="U40" s="398">
        <f>SUM(U13:U39)</f>
        <v>29326</v>
      </c>
      <c r="V40" s="398">
        <f>SUM(V13:V39)</f>
        <v>29326</v>
      </c>
    </row>
    <row r="45" spans="1:22" s="488" customFormat="1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569"/>
      <c r="O45" s="563"/>
      <c r="P45" s="563"/>
      <c r="Q45" s="563"/>
      <c r="R45" s="563"/>
      <c r="S45" s="563"/>
      <c r="T45" s="563"/>
      <c r="U45" s="14"/>
    </row>
    <row r="46" spans="1:22" s="488" customFormat="1" ht="12.75" customHeight="1" x14ac:dyDescent="0.2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810" t="s">
        <v>13</v>
      </c>
      <c r="Q46" s="810"/>
      <c r="R46" s="810"/>
      <c r="S46" s="810"/>
      <c r="T46" s="810"/>
    </row>
    <row r="47" spans="1:22" s="488" customFormat="1" ht="12.75" customHeight="1" x14ac:dyDescent="0.2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810" t="s">
        <v>14</v>
      </c>
      <c r="Q47" s="810"/>
      <c r="R47" s="810"/>
      <c r="S47" s="810"/>
      <c r="T47" s="810"/>
    </row>
    <row r="48" spans="1:22" s="488" customFormat="1" x14ac:dyDescent="0.2">
      <c r="O48" s="36"/>
      <c r="P48" s="810" t="s">
        <v>918</v>
      </c>
      <c r="Q48" s="810"/>
      <c r="R48" s="810"/>
      <c r="S48" s="810"/>
      <c r="T48" s="810"/>
    </row>
    <row r="49" spans="1:20" ht="15" x14ac:dyDescent="0.25">
      <c r="A49" s="492" t="s">
        <v>12</v>
      </c>
      <c r="P49" s="207" t="s">
        <v>82</v>
      </c>
      <c r="Q49" s="207"/>
      <c r="R49" s="207"/>
      <c r="S49" s="207"/>
      <c r="T49" s="207"/>
    </row>
  </sheetData>
  <mergeCells count="22">
    <mergeCell ref="P48:T48"/>
    <mergeCell ref="U10:U11"/>
    <mergeCell ref="T10:T11"/>
    <mergeCell ref="P8:V8"/>
    <mergeCell ref="P46:T46"/>
    <mergeCell ref="P47:T47"/>
    <mergeCell ref="D10:D11"/>
    <mergeCell ref="P9:V9"/>
    <mergeCell ref="V10:V11"/>
    <mergeCell ref="Q1:V1"/>
    <mergeCell ref="K10:M10"/>
    <mergeCell ref="N10:P10"/>
    <mergeCell ref="Q10:S10"/>
    <mergeCell ref="A3:Q3"/>
    <mergeCell ref="A4:P4"/>
    <mergeCell ref="A5:Q5"/>
    <mergeCell ref="E10:G10"/>
    <mergeCell ref="H10:J10"/>
    <mergeCell ref="A7:S7"/>
    <mergeCell ref="A10:A11"/>
    <mergeCell ref="B10:B11"/>
    <mergeCell ref="C10:C11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1:V46"/>
  <sheetViews>
    <sheetView topLeftCell="A7" zoomScaleSheetLayoutView="100" workbookViewId="0">
      <selection activeCell="H39" sqref="H39"/>
    </sheetView>
  </sheetViews>
  <sheetFormatPr defaultRowHeight="12.75" x14ac:dyDescent="0.2"/>
  <cols>
    <col min="1" max="1" width="9.140625" style="15"/>
    <col min="2" max="2" width="19.4257812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22.5703125" style="15" customWidth="1"/>
    <col min="8" max="8" width="16.7109375" style="15" customWidth="1"/>
    <col min="9" max="9" width="30.140625" style="15" customWidth="1"/>
    <col min="10" max="16384" width="9.140625" style="15"/>
  </cols>
  <sheetData>
    <row r="1" spans="1:22" customFormat="1" ht="15" x14ac:dyDescent="0.2">
      <c r="I1" s="41" t="s">
        <v>64</v>
      </c>
      <c r="J1" s="43"/>
    </row>
    <row r="2" spans="1:22" customFormat="1" ht="15" x14ac:dyDescent="0.2">
      <c r="D2" s="45" t="s">
        <v>0</v>
      </c>
      <c r="E2" s="45"/>
      <c r="F2" s="45"/>
      <c r="G2" s="45"/>
      <c r="H2" s="45"/>
      <c r="I2" s="45"/>
      <c r="J2" s="45"/>
    </row>
    <row r="3" spans="1:22" customFormat="1" ht="20.25" customHeight="1" x14ac:dyDescent="0.3">
      <c r="B3" s="151"/>
      <c r="C3" s="969" t="s">
        <v>738</v>
      </c>
      <c r="D3" s="969"/>
      <c r="E3" s="969"/>
      <c r="F3" s="969"/>
      <c r="G3" s="122"/>
      <c r="H3" s="122"/>
      <c r="I3" s="122"/>
      <c r="J3" s="44"/>
    </row>
    <row r="4" spans="1:22" customFormat="1" ht="10.5" customHeight="1" x14ac:dyDescent="0.2"/>
    <row r="5" spans="1:22" ht="30.75" customHeight="1" x14ac:dyDescent="0.2">
      <c r="A5" s="970" t="s">
        <v>811</v>
      </c>
      <c r="B5" s="970"/>
      <c r="C5" s="970"/>
      <c r="D5" s="970"/>
      <c r="E5" s="970"/>
      <c r="F5" s="970"/>
      <c r="G5" s="970"/>
      <c r="H5" s="970"/>
      <c r="I5" s="970"/>
    </row>
    <row r="7" spans="1:22" ht="0.75" customHeight="1" x14ac:dyDescent="0.2"/>
    <row r="8" spans="1:22" ht="15" x14ac:dyDescent="0.3">
      <c r="A8" s="197" t="s">
        <v>917</v>
      </c>
      <c r="B8" s="197" t="s">
        <v>916</v>
      </c>
      <c r="I8" s="33" t="s">
        <v>21</v>
      </c>
    </row>
    <row r="9" spans="1:22" x14ac:dyDescent="0.2">
      <c r="D9" s="925" t="s">
        <v>1186</v>
      </c>
      <c r="E9" s="925"/>
      <c r="F9" s="925"/>
      <c r="G9" s="925"/>
      <c r="H9" s="925"/>
      <c r="I9" s="925"/>
      <c r="U9" s="19"/>
      <c r="V9" s="22"/>
    </row>
    <row r="10" spans="1:22" ht="44.25" customHeight="1" x14ac:dyDescent="0.2">
      <c r="A10" s="5" t="s">
        <v>2</v>
      </c>
      <c r="B10" s="5" t="s">
        <v>3</v>
      </c>
      <c r="C10" s="2" t="s">
        <v>848</v>
      </c>
      <c r="D10" s="2" t="s">
        <v>850</v>
      </c>
      <c r="E10" s="2" t="s">
        <v>111</v>
      </c>
      <c r="F10" s="5" t="s">
        <v>222</v>
      </c>
      <c r="G10" s="2" t="s">
        <v>705</v>
      </c>
      <c r="H10" s="2" t="s">
        <v>152</v>
      </c>
      <c r="I10" s="34" t="s">
        <v>851</v>
      </c>
    </row>
    <row r="11" spans="1:22" s="110" customFormat="1" ht="15.75" customHeight="1" x14ac:dyDescent="0.2">
      <c r="A11" s="68">
        <v>1</v>
      </c>
      <c r="B11" s="67">
        <v>2</v>
      </c>
      <c r="C11" s="68">
        <v>3</v>
      </c>
      <c r="D11" s="67">
        <v>4</v>
      </c>
      <c r="E11" s="68">
        <v>5</v>
      </c>
      <c r="F11" s="67">
        <v>6</v>
      </c>
      <c r="G11" s="68">
        <v>7</v>
      </c>
      <c r="H11" s="67">
        <v>8</v>
      </c>
      <c r="I11" s="68">
        <v>9</v>
      </c>
    </row>
    <row r="12" spans="1:22" s="110" customFormat="1" ht="15.75" customHeight="1" x14ac:dyDescent="0.2">
      <c r="A12" s="18">
        <v>1</v>
      </c>
      <c r="B12" s="361" t="s">
        <v>890</v>
      </c>
      <c r="C12" s="340">
        <f>ROUND((T6_FG_py_Utlsn!C12-T6_FG_py_Utlsn!D12+'T6A_FG_Upy_Utlsn '!C12-'T6A_FG_Upy_Utlsn '!D12)*1315/100000,2)</f>
        <v>29.25</v>
      </c>
      <c r="D12" s="367">
        <f>ROUND(C12/992.23*110.9,2)</f>
        <v>3.27</v>
      </c>
      <c r="E12" s="366">
        <f>ROUND(C12/1057.25*881.32,2)</f>
        <v>24.38</v>
      </c>
      <c r="F12" s="367" t="s">
        <v>926</v>
      </c>
      <c r="G12" s="340">
        <v>131.5</v>
      </c>
      <c r="H12" s="379">
        <f>ROUND(T6B_Pay_FG_FCI_Pry!F13*1315/100000,2)</f>
        <v>27.19</v>
      </c>
      <c r="I12" s="340">
        <f>D12+E12-H12</f>
        <v>0.4599999999999973</v>
      </c>
    </row>
    <row r="13" spans="1:22" s="110" customFormat="1" ht="15.75" customHeight="1" x14ac:dyDescent="0.2">
      <c r="A13" s="18">
        <v>2</v>
      </c>
      <c r="B13" s="361" t="s">
        <v>891</v>
      </c>
      <c r="C13" s="340">
        <f>ROUND((T6_FG_py_Utlsn!C13-T6_FG_py_Utlsn!D13+'T6A_FG_Upy_Utlsn '!C13-'T6A_FG_Upy_Utlsn '!D13)*1315/100000,2)</f>
        <v>61.98</v>
      </c>
      <c r="D13" s="367">
        <f t="shared" ref="D13:D37" si="0">ROUND(C13/992.23*110.9,2)</f>
        <v>6.93</v>
      </c>
      <c r="E13" s="366">
        <f t="shared" ref="E13:E38" si="1">ROUND(C13/1057.25*881.32,2)</f>
        <v>51.67</v>
      </c>
      <c r="F13" s="367" t="s">
        <v>926</v>
      </c>
      <c r="G13" s="340">
        <v>131.5</v>
      </c>
      <c r="H13" s="379">
        <f>ROUND(T6B_Pay_FG_FCI_Pry!F14*1315/100000,2)</f>
        <v>52.7</v>
      </c>
      <c r="I13" s="340">
        <f t="shared" ref="I13:I38" si="2">D13+E13-H13</f>
        <v>5.8999999999999986</v>
      </c>
    </row>
    <row r="14" spans="1:22" s="110" customFormat="1" ht="15.75" customHeight="1" x14ac:dyDescent="0.2">
      <c r="A14" s="18">
        <v>3</v>
      </c>
      <c r="B14" s="361" t="s">
        <v>892</v>
      </c>
      <c r="C14" s="340">
        <f>ROUND((T6_FG_py_Utlsn!C14-T6_FG_py_Utlsn!D14+'T6A_FG_Upy_Utlsn '!C14-'T6A_FG_Upy_Utlsn '!D14)*1315/100000,2)</f>
        <v>37.04</v>
      </c>
      <c r="D14" s="367">
        <f t="shared" si="0"/>
        <v>4.1399999999999997</v>
      </c>
      <c r="E14" s="366">
        <f t="shared" si="1"/>
        <v>30.88</v>
      </c>
      <c r="F14" s="367" t="s">
        <v>926</v>
      </c>
      <c r="G14" s="340">
        <v>131.5</v>
      </c>
      <c r="H14" s="379">
        <f>ROUND(T6B_Pay_FG_FCI_Pry!F15*1315/100000,2)</f>
        <v>31.6</v>
      </c>
      <c r="I14" s="340">
        <f t="shared" si="2"/>
        <v>3.4199999999999946</v>
      </c>
    </row>
    <row r="15" spans="1:22" s="110" customFormat="1" ht="15.75" customHeight="1" x14ac:dyDescent="0.2">
      <c r="A15" s="18">
        <v>4</v>
      </c>
      <c r="B15" s="361" t="s">
        <v>893</v>
      </c>
      <c r="C15" s="340">
        <f>ROUND((T6_FG_py_Utlsn!C15-T6_FG_py_Utlsn!D15+'T6A_FG_Upy_Utlsn '!C15-'T6A_FG_Upy_Utlsn '!D15)*1315/100000,2)</f>
        <v>34.46</v>
      </c>
      <c r="D15" s="367">
        <f t="shared" si="0"/>
        <v>3.85</v>
      </c>
      <c r="E15" s="366">
        <f t="shared" si="1"/>
        <v>28.73</v>
      </c>
      <c r="F15" s="367" t="s">
        <v>926</v>
      </c>
      <c r="G15" s="340">
        <v>131.5</v>
      </c>
      <c r="H15" s="379">
        <f>ROUND(T6B_Pay_FG_FCI_Pry!F16*1315/100000,2)</f>
        <v>29.97</v>
      </c>
      <c r="I15" s="340">
        <f t="shared" si="2"/>
        <v>2.6099999999999994</v>
      </c>
    </row>
    <row r="16" spans="1:22" s="110" customFormat="1" ht="15.75" customHeight="1" x14ac:dyDescent="0.2">
      <c r="A16" s="18">
        <v>5</v>
      </c>
      <c r="B16" s="361" t="s">
        <v>894</v>
      </c>
      <c r="C16" s="340">
        <f>ROUND((T6_FG_py_Utlsn!C16-T6_FG_py_Utlsn!D16+'T6A_FG_Upy_Utlsn '!C16-'T6A_FG_Upy_Utlsn '!D16)*1315/100000,2)</f>
        <v>40.14</v>
      </c>
      <c r="D16" s="367">
        <f t="shared" si="0"/>
        <v>4.49</v>
      </c>
      <c r="E16" s="366">
        <f t="shared" si="1"/>
        <v>33.46</v>
      </c>
      <c r="F16" s="367" t="s">
        <v>926</v>
      </c>
      <c r="G16" s="340">
        <v>131.5</v>
      </c>
      <c r="H16" s="379">
        <f>ROUND(T6B_Pay_FG_FCI_Pry!F17*1315/100000,2)</f>
        <v>34.28</v>
      </c>
      <c r="I16" s="340">
        <f t="shared" si="2"/>
        <v>3.6700000000000017</v>
      </c>
    </row>
    <row r="17" spans="1:9" s="110" customFormat="1" ht="15.75" customHeight="1" x14ac:dyDescent="0.2">
      <c r="A17" s="18">
        <v>6</v>
      </c>
      <c r="B17" s="361" t="s">
        <v>895</v>
      </c>
      <c r="C17" s="340">
        <f>ROUND((T6_FG_py_Utlsn!C17-T6_FG_py_Utlsn!D17+'T6A_FG_Upy_Utlsn '!C17-'T6A_FG_Upy_Utlsn '!D17)*1315/100000,2)</f>
        <v>12.71</v>
      </c>
      <c r="D17" s="367">
        <f t="shared" si="0"/>
        <v>1.42</v>
      </c>
      <c r="E17" s="366">
        <f t="shared" si="1"/>
        <v>10.6</v>
      </c>
      <c r="F17" s="367" t="s">
        <v>926</v>
      </c>
      <c r="G17" s="340">
        <v>131.5</v>
      </c>
      <c r="H17" s="379">
        <f>ROUND(T6B_Pay_FG_FCI_Pry!F18*1315/100000,2)</f>
        <v>11.82</v>
      </c>
      <c r="I17" s="340">
        <f t="shared" si="2"/>
        <v>0.19999999999999929</v>
      </c>
    </row>
    <row r="18" spans="1:9" s="110" customFormat="1" ht="15.75" customHeight="1" x14ac:dyDescent="0.2">
      <c r="A18" s="18">
        <v>7</v>
      </c>
      <c r="B18" s="361" t="s">
        <v>896</v>
      </c>
      <c r="C18" s="340">
        <f>ROUND((T6_FG_py_Utlsn!C18-T6_FG_py_Utlsn!D18+'T6A_FG_Upy_Utlsn '!C18-'T6A_FG_Upy_Utlsn '!D18)*1315/100000,2)</f>
        <v>81.22</v>
      </c>
      <c r="D18" s="367">
        <f t="shared" si="0"/>
        <v>9.08</v>
      </c>
      <c r="E18" s="366">
        <f t="shared" si="1"/>
        <v>67.7</v>
      </c>
      <c r="F18" s="367" t="s">
        <v>926</v>
      </c>
      <c r="G18" s="340">
        <v>131.5</v>
      </c>
      <c r="H18" s="379">
        <f>ROUND(T6B_Pay_FG_FCI_Pry!F19*1315/100000,2)</f>
        <v>66.12</v>
      </c>
      <c r="I18" s="340">
        <f t="shared" si="2"/>
        <v>10.659999999999997</v>
      </c>
    </row>
    <row r="19" spans="1:9" s="110" customFormat="1" ht="15.75" customHeight="1" x14ac:dyDescent="0.2">
      <c r="A19" s="18">
        <v>8</v>
      </c>
      <c r="B19" s="361" t="s">
        <v>897</v>
      </c>
      <c r="C19" s="340">
        <f>ROUND((T6_FG_py_Utlsn!C19-T6_FG_py_Utlsn!D19+'T6A_FG_Upy_Utlsn '!C19-'T6A_FG_Upy_Utlsn '!D19)*1315/100000,2)</f>
        <v>11.91</v>
      </c>
      <c r="D19" s="367">
        <f t="shared" si="0"/>
        <v>1.33</v>
      </c>
      <c r="E19" s="366">
        <f t="shared" si="1"/>
        <v>9.93</v>
      </c>
      <c r="F19" s="367" t="s">
        <v>926</v>
      </c>
      <c r="G19" s="340">
        <v>131.5</v>
      </c>
      <c r="H19" s="379">
        <f>ROUND(T6B_Pay_FG_FCI_Pry!F20*1315/100000,2)</f>
        <v>11.2</v>
      </c>
      <c r="I19" s="340">
        <f t="shared" si="2"/>
        <v>6.0000000000000497E-2</v>
      </c>
    </row>
    <row r="20" spans="1:9" s="110" customFormat="1" ht="15.75" customHeight="1" x14ac:dyDescent="0.2">
      <c r="A20" s="18">
        <v>9</v>
      </c>
      <c r="B20" s="361" t="s">
        <v>898</v>
      </c>
      <c r="C20" s="340">
        <f>ROUND((T6_FG_py_Utlsn!C20-T6_FG_py_Utlsn!D20+'T6A_FG_Upy_Utlsn '!C20-'T6A_FG_Upy_Utlsn '!D20)*1315/100000,2)</f>
        <v>28.67</v>
      </c>
      <c r="D20" s="367">
        <f t="shared" si="0"/>
        <v>3.2</v>
      </c>
      <c r="E20" s="366">
        <f t="shared" si="1"/>
        <v>23.9</v>
      </c>
      <c r="F20" s="367" t="s">
        <v>926</v>
      </c>
      <c r="G20" s="340">
        <v>131.5</v>
      </c>
      <c r="H20" s="379">
        <f>ROUND(T6B_Pay_FG_FCI_Pry!F21*1315/100000,2)</f>
        <v>25.62</v>
      </c>
      <c r="I20" s="340">
        <f t="shared" si="2"/>
        <v>1.4799999999999969</v>
      </c>
    </row>
    <row r="21" spans="1:9" s="110" customFormat="1" ht="15.75" customHeight="1" x14ac:dyDescent="0.2">
      <c r="A21" s="18">
        <v>10</v>
      </c>
      <c r="B21" s="361" t="s">
        <v>899</v>
      </c>
      <c r="C21" s="340">
        <f>ROUND((T6_FG_py_Utlsn!C21-T6_FG_py_Utlsn!D21+'T6A_FG_Upy_Utlsn '!C21-'T6A_FG_Upy_Utlsn '!D21)*1315/100000,2)</f>
        <v>36.6</v>
      </c>
      <c r="D21" s="367">
        <f t="shared" si="0"/>
        <v>4.09</v>
      </c>
      <c r="E21" s="366">
        <f t="shared" si="1"/>
        <v>30.51</v>
      </c>
      <c r="F21" s="367" t="s">
        <v>926</v>
      </c>
      <c r="G21" s="340">
        <v>131.5</v>
      </c>
      <c r="H21" s="379">
        <f>ROUND(T6B_Pay_FG_FCI_Pry!F22*1315/100000,2)</f>
        <v>32.06</v>
      </c>
      <c r="I21" s="340">
        <f t="shared" si="2"/>
        <v>2.5399999999999991</v>
      </c>
    </row>
    <row r="22" spans="1:9" s="110" customFormat="1" ht="15.75" customHeight="1" x14ac:dyDescent="0.2">
      <c r="A22" s="18">
        <v>11</v>
      </c>
      <c r="B22" s="361" t="s">
        <v>900</v>
      </c>
      <c r="C22" s="340">
        <f>ROUND((T6_FG_py_Utlsn!C22-T6_FG_py_Utlsn!D22+'T6A_FG_Upy_Utlsn '!C22-'T6A_FG_Upy_Utlsn '!D22)*1315/100000,2)</f>
        <v>26.14</v>
      </c>
      <c r="D22" s="367">
        <f t="shared" si="0"/>
        <v>2.92</v>
      </c>
      <c r="E22" s="366">
        <f t="shared" si="1"/>
        <v>21.79</v>
      </c>
      <c r="F22" s="367" t="s">
        <v>926</v>
      </c>
      <c r="G22" s="340">
        <v>131.5</v>
      </c>
      <c r="H22" s="379">
        <f>ROUND(T6B_Pay_FG_FCI_Pry!F23*1315/100000,2)</f>
        <v>24.46</v>
      </c>
      <c r="I22" s="340">
        <f t="shared" si="2"/>
        <v>0.25</v>
      </c>
    </row>
    <row r="23" spans="1:9" s="110" customFormat="1" ht="15.75" customHeight="1" x14ac:dyDescent="0.2">
      <c r="A23" s="18">
        <v>12</v>
      </c>
      <c r="B23" s="361" t="s">
        <v>901</v>
      </c>
      <c r="C23" s="340">
        <f>ROUND((T6_FG_py_Utlsn!C23-T6_FG_py_Utlsn!D23+'T6A_FG_Upy_Utlsn '!C23-'T6A_FG_Upy_Utlsn '!D23)*1315/100000,2)</f>
        <v>62.66</v>
      </c>
      <c r="D23" s="367">
        <f t="shared" si="0"/>
        <v>7</v>
      </c>
      <c r="E23" s="366">
        <f t="shared" si="1"/>
        <v>52.23</v>
      </c>
      <c r="F23" s="367" t="s">
        <v>926</v>
      </c>
      <c r="G23" s="340">
        <v>131.5</v>
      </c>
      <c r="H23" s="379">
        <f>ROUND(T6B_Pay_FG_FCI_Pry!F24*1315/100000,2)</f>
        <v>48.83</v>
      </c>
      <c r="I23" s="340">
        <f t="shared" si="2"/>
        <v>10.399999999999999</v>
      </c>
    </row>
    <row r="24" spans="1:9" ht="14.25" customHeight="1" x14ac:dyDescent="0.2">
      <c r="A24" s="18">
        <v>13</v>
      </c>
      <c r="B24" s="361" t="s">
        <v>902</v>
      </c>
      <c r="C24" s="340">
        <f>ROUND((T6_FG_py_Utlsn!C24-T6_FG_py_Utlsn!D24+'T6A_FG_Upy_Utlsn '!C24-'T6A_FG_Upy_Utlsn '!D24)*1315/100000,2)</f>
        <v>33.93</v>
      </c>
      <c r="D24" s="367">
        <f t="shared" si="0"/>
        <v>3.79</v>
      </c>
      <c r="E24" s="366">
        <f t="shared" si="1"/>
        <v>28.28</v>
      </c>
      <c r="F24" s="367" t="s">
        <v>926</v>
      </c>
      <c r="G24" s="340">
        <v>131.5</v>
      </c>
      <c r="H24" s="379">
        <f>ROUND(T6B_Pay_FG_FCI_Pry!F25*1315/100000,2)</f>
        <v>32.29</v>
      </c>
      <c r="I24" s="340">
        <f t="shared" si="2"/>
        <v>-0.21999999999999886</v>
      </c>
    </row>
    <row r="25" spans="1:9" ht="14.25" customHeight="1" x14ac:dyDescent="0.2">
      <c r="A25" s="18">
        <v>14</v>
      </c>
      <c r="B25" s="361" t="s">
        <v>903</v>
      </c>
      <c r="C25" s="340">
        <f>ROUND((T6_FG_py_Utlsn!C25-T6_FG_py_Utlsn!D25+'T6A_FG_Upy_Utlsn '!C25-'T6A_FG_Upy_Utlsn '!D25)*1315/100000,2)</f>
        <v>31.17</v>
      </c>
      <c r="D25" s="367">
        <f t="shared" si="0"/>
        <v>3.48</v>
      </c>
      <c r="E25" s="366">
        <f t="shared" si="1"/>
        <v>25.98</v>
      </c>
      <c r="F25" s="367" t="s">
        <v>926</v>
      </c>
      <c r="G25" s="340">
        <v>131.5</v>
      </c>
      <c r="H25" s="379">
        <f>ROUND(T6B_Pay_FG_FCI_Pry!F26*1315/100000,2)</f>
        <v>28.24</v>
      </c>
      <c r="I25" s="340">
        <f t="shared" si="2"/>
        <v>1.2200000000000024</v>
      </c>
    </row>
    <row r="26" spans="1:9" ht="14.25" customHeight="1" x14ac:dyDescent="0.2">
      <c r="A26" s="18">
        <v>15</v>
      </c>
      <c r="B26" s="361" t="s">
        <v>904</v>
      </c>
      <c r="C26" s="340">
        <f>ROUND((T6_FG_py_Utlsn!C26-T6_FG_py_Utlsn!D26+'T6A_FG_Upy_Utlsn '!C26-'T6A_FG_Upy_Utlsn '!D26)*1315/100000,2)</f>
        <v>41.72</v>
      </c>
      <c r="D26" s="367">
        <f t="shared" si="0"/>
        <v>4.66</v>
      </c>
      <c r="E26" s="366">
        <f t="shared" si="1"/>
        <v>34.78</v>
      </c>
      <c r="F26" s="367" t="s">
        <v>926</v>
      </c>
      <c r="G26" s="340">
        <v>131.5</v>
      </c>
      <c r="H26" s="379">
        <f>ROUND(T6B_Pay_FG_FCI_Pry!F27*1315/100000,2)</f>
        <v>35.36</v>
      </c>
      <c r="I26" s="340">
        <f t="shared" si="2"/>
        <v>4.0799999999999983</v>
      </c>
    </row>
    <row r="27" spans="1:9" x14ac:dyDescent="0.2">
      <c r="A27" s="18">
        <v>16</v>
      </c>
      <c r="B27" s="361" t="s">
        <v>905</v>
      </c>
      <c r="C27" s="340">
        <f>ROUND((T6_FG_py_Utlsn!C27-T6_FG_py_Utlsn!D27+'T6A_FG_Upy_Utlsn '!C27-'T6A_FG_Upy_Utlsn '!D27)*1315/100000,2)</f>
        <v>27.42</v>
      </c>
      <c r="D27" s="367">
        <f t="shared" si="0"/>
        <v>3.06</v>
      </c>
      <c r="E27" s="366">
        <f t="shared" si="1"/>
        <v>22.86</v>
      </c>
      <c r="F27" s="367" t="s">
        <v>926</v>
      </c>
      <c r="G27" s="340">
        <v>131.5</v>
      </c>
      <c r="H27" s="379">
        <f>ROUND(T6B_Pay_FG_FCI_Pry!F28*1315/100000,2)</f>
        <v>26.02</v>
      </c>
      <c r="I27" s="340">
        <f t="shared" si="2"/>
        <v>-0.10000000000000142</v>
      </c>
    </row>
    <row r="28" spans="1:9" ht="15.75" customHeight="1" x14ac:dyDescent="0.2">
      <c r="A28" s="18">
        <v>17</v>
      </c>
      <c r="B28" s="361" t="s">
        <v>906</v>
      </c>
      <c r="C28" s="340">
        <f>ROUND((T6_FG_py_Utlsn!C28-T6_FG_py_Utlsn!D28+'T6A_FG_Upy_Utlsn '!C28-'T6A_FG_Upy_Utlsn '!D28)*1315/100000,2)</f>
        <v>41.15</v>
      </c>
      <c r="D28" s="367">
        <f t="shared" si="0"/>
        <v>4.5999999999999996</v>
      </c>
      <c r="E28" s="366">
        <f t="shared" si="1"/>
        <v>34.299999999999997</v>
      </c>
      <c r="F28" s="367" t="s">
        <v>926</v>
      </c>
      <c r="G28" s="340">
        <v>131.5</v>
      </c>
      <c r="H28" s="379">
        <f>ROUND(T6B_Pay_FG_FCI_Pry!F29*1315/100000,2)</f>
        <v>36.74</v>
      </c>
      <c r="I28" s="340">
        <f t="shared" si="2"/>
        <v>2.1599999999999966</v>
      </c>
    </row>
    <row r="29" spans="1:9" ht="12.75" customHeight="1" x14ac:dyDescent="0.2">
      <c r="A29" s="18">
        <v>18</v>
      </c>
      <c r="B29" s="361" t="s">
        <v>907</v>
      </c>
      <c r="C29" s="340">
        <f>ROUND((T6_FG_py_Utlsn!C29-T6_FG_py_Utlsn!D29+'T6A_FG_Upy_Utlsn '!C29-'T6A_FG_Upy_Utlsn '!D29)*1315/100000,2)</f>
        <v>23.78</v>
      </c>
      <c r="D29" s="367">
        <f t="shared" si="0"/>
        <v>2.66</v>
      </c>
      <c r="E29" s="366">
        <f t="shared" si="1"/>
        <v>19.82</v>
      </c>
      <c r="F29" s="367" t="s">
        <v>926</v>
      </c>
      <c r="G29" s="340">
        <v>131.5</v>
      </c>
      <c r="H29" s="379">
        <f>ROUND(T6B_Pay_FG_FCI_Pry!F30*1315/100000,2)</f>
        <v>19.38</v>
      </c>
      <c r="I29" s="340">
        <f t="shared" si="2"/>
        <v>3.1000000000000014</v>
      </c>
    </row>
    <row r="30" spans="1:9" ht="12.75" customHeight="1" x14ac:dyDescent="0.2">
      <c r="A30" s="18">
        <v>19</v>
      </c>
      <c r="B30" s="361" t="s">
        <v>908</v>
      </c>
      <c r="C30" s="340">
        <f>ROUND((T6_FG_py_Utlsn!C30-T6_FG_py_Utlsn!D30+'T6A_FG_Upy_Utlsn '!C30-'T6A_FG_Upy_Utlsn '!D30)*1315/100000,2)</f>
        <v>45.67</v>
      </c>
      <c r="D30" s="367">
        <f t="shared" si="0"/>
        <v>5.0999999999999996</v>
      </c>
      <c r="E30" s="366">
        <f t="shared" si="1"/>
        <v>38.07</v>
      </c>
      <c r="F30" s="367" t="s">
        <v>926</v>
      </c>
      <c r="G30" s="340">
        <v>131.5</v>
      </c>
      <c r="H30" s="379">
        <f>ROUND(T6B_Pay_FG_FCI_Pry!F31*1315/100000,2)</f>
        <v>39.47</v>
      </c>
      <c r="I30" s="340">
        <f t="shared" si="2"/>
        <v>3.7000000000000028</v>
      </c>
    </row>
    <row r="31" spans="1:9" x14ac:dyDescent="0.2">
      <c r="A31" s="18">
        <v>20</v>
      </c>
      <c r="B31" s="361" t="s">
        <v>909</v>
      </c>
      <c r="C31" s="340">
        <f>ROUND((T6_FG_py_Utlsn!C31-T6_FG_py_Utlsn!D31+'T6A_FG_Upy_Utlsn '!C31-'T6A_FG_Upy_Utlsn '!D31)*1315/100000,2)</f>
        <v>34.78</v>
      </c>
      <c r="D31" s="367">
        <f t="shared" si="0"/>
        <v>3.89</v>
      </c>
      <c r="E31" s="366">
        <f t="shared" si="1"/>
        <v>28.99</v>
      </c>
      <c r="F31" s="367" t="s">
        <v>926</v>
      </c>
      <c r="G31" s="340">
        <v>131.5</v>
      </c>
      <c r="H31" s="379">
        <f>ROUND(T6B_Pay_FG_FCI_Pry!F32*1315/100000,2)</f>
        <v>29.66</v>
      </c>
      <c r="I31" s="340">
        <f t="shared" si="2"/>
        <v>3.2199999999999953</v>
      </c>
    </row>
    <row r="32" spans="1:9" x14ac:dyDescent="0.2">
      <c r="A32" s="18">
        <v>21</v>
      </c>
      <c r="B32" s="361" t="s">
        <v>910</v>
      </c>
      <c r="C32" s="340">
        <f>ROUND((T6_FG_py_Utlsn!C32-T6_FG_py_Utlsn!D32+'T6A_FG_Upy_Utlsn '!C32-'T6A_FG_Upy_Utlsn '!D32)*1315/100000,2)</f>
        <v>7.24</v>
      </c>
      <c r="D32" s="367">
        <f t="shared" si="0"/>
        <v>0.81</v>
      </c>
      <c r="E32" s="366">
        <f t="shared" si="1"/>
        <v>6.04</v>
      </c>
      <c r="F32" s="367" t="s">
        <v>926</v>
      </c>
      <c r="G32" s="340">
        <v>131.5</v>
      </c>
      <c r="H32" s="379">
        <f>ROUND(T6B_Pay_FG_FCI_Pry!F33*1315/100000,2)</f>
        <v>6.76</v>
      </c>
      <c r="I32" s="340">
        <f t="shared" si="2"/>
        <v>8.9999999999999858E-2</v>
      </c>
    </row>
    <row r="33" spans="1:12" x14ac:dyDescent="0.2">
      <c r="A33" s="18">
        <v>22</v>
      </c>
      <c r="B33" s="361" t="s">
        <v>911</v>
      </c>
      <c r="C33" s="340">
        <f>ROUND((T6_FG_py_Utlsn!C33-T6_FG_py_Utlsn!D33+'T6A_FG_Upy_Utlsn '!C33-'T6A_FG_Upy_Utlsn '!D33)*1315/100000,2)</f>
        <v>47.84</v>
      </c>
      <c r="D33" s="367">
        <f t="shared" si="0"/>
        <v>5.35</v>
      </c>
      <c r="E33" s="366">
        <f t="shared" si="1"/>
        <v>39.880000000000003</v>
      </c>
      <c r="F33" s="367" t="s">
        <v>926</v>
      </c>
      <c r="G33" s="340">
        <v>131.5</v>
      </c>
      <c r="H33" s="379">
        <f>ROUND(T6B_Pay_FG_FCI_Pry!F34*1315/100000,2)</f>
        <v>40.869999999999997</v>
      </c>
      <c r="I33" s="340">
        <f t="shared" si="2"/>
        <v>4.3600000000000065</v>
      </c>
    </row>
    <row r="34" spans="1:12" x14ac:dyDescent="0.2">
      <c r="A34" s="18">
        <v>23</v>
      </c>
      <c r="B34" s="361" t="s">
        <v>912</v>
      </c>
      <c r="C34" s="340">
        <f>ROUND((T6_FG_py_Utlsn!C34-T6_FG_py_Utlsn!D34+'T6A_FG_Upy_Utlsn '!C34-'T6A_FG_Upy_Utlsn '!D34)*1315/100000,2)</f>
        <v>58.49</v>
      </c>
      <c r="D34" s="367">
        <f t="shared" si="0"/>
        <v>6.54</v>
      </c>
      <c r="E34" s="366">
        <f t="shared" si="1"/>
        <v>48.76</v>
      </c>
      <c r="F34" s="367" t="s">
        <v>926</v>
      </c>
      <c r="G34" s="340">
        <v>131.5</v>
      </c>
      <c r="H34" s="379">
        <f>ROUND(T6B_Pay_FG_FCI_Pry!F35*1315/100000,2)</f>
        <v>51.46</v>
      </c>
      <c r="I34" s="340">
        <f t="shared" si="2"/>
        <v>3.8399999999999963</v>
      </c>
    </row>
    <row r="35" spans="1:12" x14ac:dyDescent="0.2">
      <c r="A35" s="18">
        <v>24</v>
      </c>
      <c r="B35" s="361" t="s">
        <v>913</v>
      </c>
      <c r="C35" s="340">
        <f>ROUND((T6_FG_py_Utlsn!C35-T6_FG_py_Utlsn!D35+'T6A_FG_Upy_Utlsn '!C35-'T6A_FG_Upy_Utlsn '!D35)*1315/100000,2)</f>
        <v>61.44</v>
      </c>
      <c r="D35" s="367">
        <f t="shared" si="0"/>
        <v>6.87</v>
      </c>
      <c r="E35" s="366">
        <f t="shared" si="1"/>
        <v>51.22</v>
      </c>
      <c r="F35" s="367" t="s">
        <v>926</v>
      </c>
      <c r="G35" s="340">
        <v>131.5</v>
      </c>
      <c r="H35" s="379">
        <f>ROUND(T6B_Pay_FG_FCI_Pry!F36*1315/100000,2)</f>
        <v>57.01</v>
      </c>
      <c r="I35" s="340">
        <f t="shared" si="2"/>
        <v>1.0799999999999983</v>
      </c>
    </row>
    <row r="36" spans="1:12" x14ac:dyDescent="0.2">
      <c r="A36" s="18">
        <v>25</v>
      </c>
      <c r="B36" s="361" t="s">
        <v>919</v>
      </c>
      <c r="C36" s="340">
        <f>ROUND((T6_FG_py_Utlsn!C36-T6_FG_py_Utlsn!D36+'T6A_FG_Upy_Utlsn '!C36-'T6A_FG_Upy_Utlsn '!D36)*1315/100000,2)</f>
        <v>31.14</v>
      </c>
      <c r="D36" s="367">
        <f t="shared" si="0"/>
        <v>3.48</v>
      </c>
      <c r="E36" s="366">
        <f t="shared" si="1"/>
        <v>25.96</v>
      </c>
      <c r="F36" s="367" t="s">
        <v>926</v>
      </c>
      <c r="G36" s="340">
        <v>131.5</v>
      </c>
      <c r="H36" s="379">
        <f>ROUND(T6B_Pay_FG_FCI_Pry!F37*1315/100000,2)</f>
        <v>27</v>
      </c>
      <c r="I36" s="340">
        <f t="shared" si="2"/>
        <v>2.4400000000000013</v>
      </c>
    </row>
    <row r="37" spans="1:12" x14ac:dyDescent="0.2">
      <c r="A37" s="18">
        <v>26</v>
      </c>
      <c r="B37" s="361" t="s">
        <v>914</v>
      </c>
      <c r="C37" s="340">
        <f>ROUND((T6_FG_py_Utlsn!C37-T6_FG_py_Utlsn!D37+'T6A_FG_Upy_Utlsn '!C37-'T6A_FG_Upy_Utlsn '!D37)*1315/100000,2)</f>
        <v>10.72</v>
      </c>
      <c r="D37" s="367">
        <f t="shared" si="0"/>
        <v>1.2</v>
      </c>
      <c r="E37" s="366">
        <f t="shared" si="1"/>
        <v>8.94</v>
      </c>
      <c r="F37" s="367" t="s">
        <v>926</v>
      </c>
      <c r="G37" s="340">
        <v>131.5</v>
      </c>
      <c r="H37" s="379">
        <f>ROUND(T6B_Pay_FG_FCI_Pry!F38*1315/100000,2)</f>
        <v>10.76</v>
      </c>
      <c r="I37" s="340">
        <f t="shared" si="2"/>
        <v>-0.62000000000000099</v>
      </c>
    </row>
    <row r="38" spans="1:12" ht="15" x14ac:dyDescent="0.2">
      <c r="A38" s="18">
        <v>27</v>
      </c>
      <c r="B38" s="362" t="s">
        <v>915</v>
      </c>
      <c r="C38" s="340">
        <f>ROUND((T6_FG_py_Utlsn!C38-T6_FG_py_Utlsn!D38+'T6A_FG_Upy_Utlsn '!C38-'T6A_FG_Upy_Utlsn '!D38)*1315/100000,2)</f>
        <v>32.96</v>
      </c>
      <c r="D38" s="367">
        <v>3.69</v>
      </c>
      <c r="E38" s="366">
        <f t="shared" si="1"/>
        <v>27.48</v>
      </c>
      <c r="F38" s="367" t="s">
        <v>926</v>
      </c>
      <c r="G38" s="340">
        <v>131.5</v>
      </c>
      <c r="H38" s="379">
        <v>28.4</v>
      </c>
      <c r="I38" s="340">
        <f t="shared" si="2"/>
        <v>2.7700000000000031</v>
      </c>
    </row>
    <row r="39" spans="1:12" x14ac:dyDescent="0.2">
      <c r="A39" s="3" t="s">
        <v>18</v>
      </c>
      <c r="B39" s="19"/>
      <c r="C39" s="380">
        <f>SUM(C12:C38)</f>
        <v>992.23000000000013</v>
      </c>
      <c r="D39" s="380">
        <f>SUM(D12:D38)</f>
        <v>110.89999999999999</v>
      </c>
      <c r="E39" s="380">
        <f>SUM(E12:E38)</f>
        <v>827.14000000000021</v>
      </c>
      <c r="F39" s="19"/>
      <c r="G39" s="19">
        <v>131.5</v>
      </c>
      <c r="H39" s="380">
        <f>SUM(H12:H38)</f>
        <v>865.27</v>
      </c>
      <c r="I39" s="380">
        <f>SUM(I12:I38)</f>
        <v>72.769999999999982</v>
      </c>
    </row>
    <row r="40" spans="1:12" x14ac:dyDescent="0.2">
      <c r="E40" s="31"/>
      <c r="F40" s="31"/>
      <c r="G40" s="31"/>
      <c r="H40" s="22"/>
      <c r="I40" s="22"/>
      <c r="J40" s="15" t="s">
        <v>11</v>
      </c>
    </row>
    <row r="41" spans="1:12" x14ac:dyDescent="0.2">
      <c r="E41" s="11"/>
      <c r="F41" s="11"/>
      <c r="G41" s="11"/>
      <c r="H41" s="31"/>
      <c r="I41" s="22"/>
    </row>
    <row r="42" spans="1:12" s="569" customFormat="1" x14ac:dyDescent="0.2">
      <c r="A42" s="36"/>
      <c r="E42" s="36"/>
      <c r="F42" s="36"/>
      <c r="G42" s="36"/>
      <c r="I42" s="563"/>
      <c r="J42" s="563"/>
    </row>
    <row r="43" spans="1:12" s="569" customFormat="1" ht="12.75" customHeight="1" x14ac:dyDescent="0.2">
      <c r="E43" s="810" t="s">
        <v>13</v>
      </c>
      <c r="F43" s="810"/>
      <c r="G43" s="810"/>
      <c r="H43" s="810"/>
      <c r="I43" s="810"/>
    </row>
    <row r="44" spans="1:12" s="569" customFormat="1" ht="12.75" customHeight="1" x14ac:dyDescent="0.2">
      <c r="E44" s="810" t="s">
        <v>14</v>
      </c>
      <c r="F44" s="810"/>
      <c r="G44" s="810"/>
      <c r="H44" s="810"/>
      <c r="I44" s="810"/>
    </row>
    <row r="45" spans="1:12" s="569" customFormat="1" ht="12.75" customHeight="1" x14ac:dyDescent="0.2">
      <c r="E45" s="810" t="s">
        <v>918</v>
      </c>
      <c r="F45" s="810"/>
      <c r="G45" s="810"/>
      <c r="H45" s="810"/>
      <c r="I45" s="810"/>
      <c r="J45" s="36"/>
      <c r="K45" s="36"/>
      <c r="L45" s="36"/>
    </row>
    <row r="46" spans="1:12" ht="15" x14ac:dyDescent="0.25">
      <c r="A46" s="492" t="s">
        <v>12</v>
      </c>
      <c r="F46" s="207" t="s">
        <v>82</v>
      </c>
      <c r="G46" s="207"/>
      <c r="H46" s="207"/>
      <c r="I46" s="207"/>
    </row>
  </sheetData>
  <mergeCells count="6">
    <mergeCell ref="E43:I43"/>
    <mergeCell ref="E44:I44"/>
    <mergeCell ref="E45:I45"/>
    <mergeCell ref="C3:F3"/>
    <mergeCell ref="D9:I9"/>
    <mergeCell ref="A5:I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T33"/>
  <sheetViews>
    <sheetView topLeftCell="A17" zoomScaleSheetLayoutView="81" workbookViewId="0">
      <selection activeCell="E25" sqref="E25"/>
    </sheetView>
  </sheetViews>
  <sheetFormatPr defaultRowHeight="12.75" x14ac:dyDescent="0.2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30.28515625" style="15" customWidth="1"/>
    <col min="9" max="16384" width="9.140625" style="15"/>
  </cols>
  <sheetData>
    <row r="1" spans="1:20" customFormat="1" ht="15" x14ac:dyDescent="0.2">
      <c r="D1" s="36"/>
      <c r="E1" s="36"/>
      <c r="F1" s="36"/>
      <c r="G1" s="15"/>
      <c r="H1" s="41" t="s">
        <v>65</v>
      </c>
      <c r="I1" s="36"/>
      <c r="J1" s="15"/>
      <c r="L1" s="15"/>
      <c r="M1" s="43"/>
      <c r="N1" s="43"/>
    </row>
    <row r="2" spans="1:20" customFormat="1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45"/>
      <c r="J2" s="45"/>
      <c r="K2" s="45"/>
      <c r="L2" s="45"/>
      <c r="M2" s="45"/>
      <c r="N2" s="45"/>
    </row>
    <row r="3" spans="1:20" customFormat="1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44"/>
      <c r="J3" s="44"/>
      <c r="K3" s="44"/>
      <c r="L3" s="44"/>
      <c r="M3" s="44"/>
      <c r="N3" s="44"/>
    </row>
    <row r="4" spans="1:20" customFormat="1" ht="10.5" customHeight="1" x14ac:dyDescent="0.2"/>
    <row r="5" spans="1:20" ht="19.5" customHeight="1" x14ac:dyDescent="0.25">
      <c r="A5" s="856" t="s">
        <v>812</v>
      </c>
      <c r="B5" s="932"/>
      <c r="C5" s="932"/>
      <c r="D5" s="932"/>
      <c r="E5" s="932"/>
      <c r="F5" s="932"/>
      <c r="G5" s="932"/>
      <c r="H5" s="932"/>
    </row>
    <row r="7" spans="1:20" s="13" customFormat="1" ht="15.75" hidden="1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6.5" x14ac:dyDescent="0.3">
      <c r="A8" s="197" t="s">
        <v>917</v>
      </c>
      <c r="B8" s="197" t="s">
        <v>916</v>
      </c>
      <c r="C8" s="15"/>
      <c r="D8" s="15"/>
      <c r="E8" s="15"/>
      <c r="F8" s="15"/>
      <c r="G8" s="15"/>
      <c r="H8" s="33" t="s">
        <v>25</v>
      </c>
      <c r="I8" s="15"/>
    </row>
    <row r="9" spans="1:20" s="13" customFormat="1" ht="15.75" x14ac:dyDescent="0.25">
      <c r="A9" s="14"/>
      <c r="B9" s="15"/>
      <c r="C9" s="15"/>
      <c r="D9" s="98"/>
      <c r="E9" s="98"/>
      <c r="G9" s="925" t="s">
        <v>1186</v>
      </c>
      <c r="H9" s="925"/>
      <c r="J9" s="98"/>
      <c r="K9" s="98"/>
      <c r="L9" s="98"/>
      <c r="S9" s="119"/>
      <c r="T9" s="117"/>
    </row>
    <row r="10" spans="1:20" s="37" customFormat="1" ht="55.5" customHeight="1" x14ac:dyDescent="0.2">
      <c r="A10" s="39"/>
      <c r="B10" s="5" t="s">
        <v>26</v>
      </c>
      <c r="C10" s="5" t="s">
        <v>852</v>
      </c>
      <c r="D10" s="5" t="s">
        <v>820</v>
      </c>
      <c r="E10" s="5" t="s">
        <v>221</v>
      </c>
      <c r="F10" s="5" t="s">
        <v>222</v>
      </c>
      <c r="G10" s="5" t="s">
        <v>71</v>
      </c>
      <c r="H10" s="5" t="s">
        <v>853</v>
      </c>
    </row>
    <row r="11" spans="1:20" s="37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30" t="s">
        <v>27</v>
      </c>
      <c r="B12" s="30" t="s">
        <v>28</v>
      </c>
      <c r="C12" s="852">
        <v>400.84</v>
      </c>
      <c r="D12" s="852">
        <v>0.59</v>
      </c>
      <c r="E12" s="852">
        <f>C12-D12</f>
        <v>400.25</v>
      </c>
      <c r="F12" s="852" t="s">
        <v>926</v>
      </c>
      <c r="G12" s="19"/>
      <c r="H12" s="974">
        <f>C12-G16</f>
        <v>10.859999999999957</v>
      </c>
    </row>
    <row r="13" spans="1:20" ht="20.25" customHeight="1" x14ac:dyDescent="0.2">
      <c r="A13" s="19"/>
      <c r="B13" s="19" t="s">
        <v>29</v>
      </c>
      <c r="C13" s="852"/>
      <c r="D13" s="852"/>
      <c r="E13" s="852"/>
      <c r="F13" s="852"/>
      <c r="G13" s="380">
        <v>190.22</v>
      </c>
      <c r="H13" s="855"/>
    </row>
    <row r="14" spans="1:20" ht="17.25" customHeight="1" x14ac:dyDescent="0.2">
      <c r="A14" s="19"/>
      <c r="B14" s="19" t="s">
        <v>186</v>
      </c>
      <c r="C14" s="852"/>
      <c r="D14" s="852"/>
      <c r="E14" s="852"/>
      <c r="F14" s="852"/>
      <c r="G14" s="19">
        <v>63.25</v>
      </c>
      <c r="H14" s="855"/>
    </row>
    <row r="15" spans="1:20" s="37" customFormat="1" ht="33.75" customHeight="1" x14ac:dyDescent="0.2">
      <c r="A15" s="38"/>
      <c r="B15" s="38" t="s">
        <v>187</v>
      </c>
      <c r="C15" s="852"/>
      <c r="D15" s="852"/>
      <c r="E15" s="852"/>
      <c r="F15" s="852"/>
      <c r="G15" s="38">
        <v>136.51</v>
      </c>
      <c r="H15" s="855"/>
    </row>
    <row r="16" spans="1:20" s="37" customFormat="1" x14ac:dyDescent="0.2">
      <c r="A16" s="38"/>
      <c r="B16" s="39" t="s">
        <v>30</v>
      </c>
      <c r="C16" s="17">
        <f>SUM(C12)</f>
        <v>400.84</v>
      </c>
      <c r="D16" s="17">
        <f>SUM(D12)</f>
        <v>0.59</v>
      </c>
      <c r="E16" s="17">
        <f>SUM(E12)</f>
        <v>400.25</v>
      </c>
      <c r="F16" s="17"/>
      <c r="G16" s="382">
        <f>SUM(G13:G15)</f>
        <v>389.98</v>
      </c>
      <c r="H16" s="382">
        <f>SUM(H12)</f>
        <v>10.859999999999957</v>
      </c>
    </row>
    <row r="17" spans="1:10" s="37" customFormat="1" ht="40.5" customHeight="1" x14ac:dyDescent="0.2">
      <c r="A17" s="39" t="s">
        <v>31</v>
      </c>
      <c r="B17" s="39" t="s">
        <v>220</v>
      </c>
      <c r="C17" s="971">
        <v>422</v>
      </c>
      <c r="D17" s="975">
        <v>0.5</v>
      </c>
      <c r="E17" s="971">
        <f>C17-D17</f>
        <v>421.5</v>
      </c>
      <c r="F17" s="975" t="s">
        <v>926</v>
      </c>
      <c r="G17" s="38"/>
      <c r="H17" s="972">
        <f>C25-G25</f>
        <v>4.9600000000000364</v>
      </c>
    </row>
    <row r="18" spans="1:10" ht="28.5" customHeight="1" x14ac:dyDescent="0.2">
      <c r="A18" s="19"/>
      <c r="B18" s="144" t="s">
        <v>189</v>
      </c>
      <c r="C18" s="971"/>
      <c r="D18" s="975"/>
      <c r="E18" s="975"/>
      <c r="F18" s="975"/>
      <c r="G18" s="19">
        <v>230.66</v>
      </c>
      <c r="H18" s="973"/>
    </row>
    <row r="19" spans="1:10" ht="19.5" customHeight="1" x14ac:dyDescent="0.2">
      <c r="A19" s="19"/>
      <c r="B19" s="38" t="s">
        <v>32</v>
      </c>
      <c r="C19" s="971"/>
      <c r="D19" s="975"/>
      <c r="E19" s="975"/>
      <c r="F19" s="975"/>
      <c r="G19" s="380">
        <v>38.549999999999997</v>
      </c>
      <c r="H19" s="973"/>
    </row>
    <row r="20" spans="1:10" ht="21.75" customHeight="1" x14ac:dyDescent="0.2">
      <c r="A20" s="19"/>
      <c r="B20" s="38" t="s">
        <v>190</v>
      </c>
      <c r="C20" s="971"/>
      <c r="D20" s="975"/>
      <c r="E20" s="975"/>
      <c r="F20" s="975"/>
      <c r="G20" s="380">
        <v>60</v>
      </c>
      <c r="H20" s="973"/>
    </row>
    <row r="21" spans="1:10" s="37" customFormat="1" ht="27.75" customHeight="1" x14ac:dyDescent="0.2">
      <c r="A21" s="38"/>
      <c r="B21" s="38" t="s">
        <v>33</v>
      </c>
      <c r="C21" s="971"/>
      <c r="D21" s="975"/>
      <c r="E21" s="975"/>
      <c r="F21" s="975"/>
      <c r="G21" s="400">
        <v>35.83</v>
      </c>
      <c r="H21" s="973"/>
    </row>
    <row r="22" spans="1:10" s="37" customFormat="1" ht="19.5" customHeight="1" x14ac:dyDescent="0.2">
      <c r="A22" s="38"/>
      <c r="B22" s="38" t="s">
        <v>188</v>
      </c>
      <c r="C22" s="971"/>
      <c r="D22" s="975"/>
      <c r="E22" s="975"/>
      <c r="F22" s="975"/>
      <c r="G22" s="400">
        <v>8</v>
      </c>
      <c r="H22" s="973"/>
    </row>
    <row r="23" spans="1:10" s="37" customFormat="1" ht="27.75" customHeight="1" x14ac:dyDescent="0.2">
      <c r="A23" s="38"/>
      <c r="B23" s="38" t="s">
        <v>191</v>
      </c>
      <c r="C23" s="971"/>
      <c r="D23" s="975"/>
      <c r="E23" s="975"/>
      <c r="F23" s="975"/>
      <c r="G23" s="400">
        <v>36</v>
      </c>
      <c r="H23" s="973"/>
    </row>
    <row r="24" spans="1:10" s="37" customFormat="1" ht="18.75" customHeight="1" x14ac:dyDescent="0.2">
      <c r="A24" s="39"/>
      <c r="B24" s="38" t="s">
        <v>192</v>
      </c>
      <c r="C24" s="971"/>
      <c r="D24" s="975"/>
      <c r="E24" s="975"/>
      <c r="F24" s="975"/>
      <c r="G24" s="400">
        <v>8</v>
      </c>
      <c r="H24" s="973"/>
    </row>
    <row r="25" spans="1:10" s="37" customFormat="1" ht="19.5" customHeight="1" x14ac:dyDescent="0.2">
      <c r="A25" s="39"/>
      <c r="B25" s="39" t="s">
        <v>30</v>
      </c>
      <c r="C25" s="399">
        <f>SUM(C17)</f>
        <v>422</v>
      </c>
      <c r="D25" s="399">
        <f>SUM(D17)</f>
        <v>0.5</v>
      </c>
      <c r="E25" s="399">
        <f>SUM(E17)</f>
        <v>421.5</v>
      </c>
      <c r="F25" s="17" t="s">
        <v>926</v>
      </c>
      <c r="G25" s="38">
        <f>SUM(G17:G24)</f>
        <v>417.03999999999996</v>
      </c>
      <c r="H25" s="382">
        <f>SUM(H17)</f>
        <v>4.9600000000000364</v>
      </c>
    </row>
    <row r="26" spans="1:10" x14ac:dyDescent="0.2">
      <c r="A26" s="19"/>
      <c r="B26" s="30" t="s">
        <v>34</v>
      </c>
      <c r="C26" s="399">
        <f>C16+C25</f>
        <v>822.83999999999992</v>
      </c>
      <c r="D26" s="399">
        <f>D16+D25</f>
        <v>1.0899999999999999</v>
      </c>
      <c r="E26" s="399">
        <f>E16+E25</f>
        <v>821.75</v>
      </c>
      <c r="F26" s="17" t="s">
        <v>926</v>
      </c>
      <c r="G26" s="382">
        <f>G16+G25</f>
        <v>807.02</v>
      </c>
      <c r="H26" s="382">
        <f>H16+H25</f>
        <v>15.819999999999993</v>
      </c>
    </row>
    <row r="27" spans="1:10" s="37" customFormat="1" ht="15.75" customHeight="1" x14ac:dyDescent="0.2"/>
    <row r="28" spans="1:10" s="37" customFormat="1" ht="15.75" customHeight="1" x14ac:dyDescent="0.2"/>
    <row r="29" spans="1:10" s="569" customFormat="1" ht="13.15" customHeight="1" x14ac:dyDescent="0.2">
      <c r="B29" s="14"/>
      <c r="C29" s="14"/>
      <c r="D29" s="14"/>
      <c r="E29" s="14"/>
      <c r="F29" s="14"/>
      <c r="G29" s="563"/>
      <c r="H29" s="563"/>
    </row>
    <row r="30" spans="1:10" s="569" customFormat="1" ht="13.9" customHeight="1" x14ac:dyDescent="0.2">
      <c r="B30" s="563"/>
      <c r="C30" s="563"/>
      <c r="D30" s="810" t="s">
        <v>13</v>
      </c>
      <c r="E30" s="810"/>
      <c r="F30" s="810"/>
      <c r="G30" s="810"/>
      <c r="H30" s="810"/>
    </row>
    <row r="31" spans="1:10" s="569" customFormat="1" ht="12.6" customHeight="1" x14ac:dyDescent="0.2">
      <c r="B31" s="563"/>
      <c r="C31" s="563"/>
      <c r="D31" s="810" t="s">
        <v>14</v>
      </c>
      <c r="E31" s="810"/>
      <c r="F31" s="810"/>
      <c r="G31" s="810"/>
      <c r="H31" s="810"/>
    </row>
    <row r="32" spans="1:10" s="569" customFormat="1" x14ac:dyDescent="0.2">
      <c r="B32" s="14"/>
      <c r="C32" s="14"/>
      <c r="D32" s="810" t="s">
        <v>918</v>
      </c>
      <c r="E32" s="810"/>
      <c r="F32" s="810"/>
      <c r="G32" s="810"/>
      <c r="H32" s="810"/>
      <c r="I32" s="36"/>
      <c r="J32" s="36"/>
    </row>
    <row r="33" spans="1:8" ht="15" x14ac:dyDescent="0.25">
      <c r="A33" s="492" t="s">
        <v>12</v>
      </c>
      <c r="D33" s="657"/>
      <c r="E33" s="207" t="s">
        <v>82</v>
      </c>
      <c r="F33" s="207"/>
      <c r="G33" s="207"/>
      <c r="H33" s="207"/>
    </row>
  </sheetData>
  <mergeCells count="17">
    <mergeCell ref="D30:H30"/>
    <mergeCell ref="D31:H31"/>
    <mergeCell ref="D32:H32"/>
    <mergeCell ref="D17:D24"/>
    <mergeCell ref="E17:E24"/>
    <mergeCell ref="F17:F24"/>
    <mergeCell ref="C17:C24"/>
    <mergeCell ref="H17:H24"/>
    <mergeCell ref="A2:H2"/>
    <mergeCell ref="A3:H3"/>
    <mergeCell ref="C12:C15"/>
    <mergeCell ref="D12:D15"/>
    <mergeCell ref="F12:F15"/>
    <mergeCell ref="H12:H15"/>
    <mergeCell ref="A5:H5"/>
    <mergeCell ref="E12:E15"/>
    <mergeCell ref="G9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H13"/>
  <sheetViews>
    <sheetView zoomScaleSheetLayoutView="90" workbookViewId="0">
      <selection activeCell="G22" sqref="G22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809"/>
      <c r="C4" s="809"/>
      <c r="D4" s="809"/>
      <c r="E4" s="809"/>
      <c r="F4" s="809"/>
      <c r="G4" s="809"/>
      <c r="H4" s="809"/>
    </row>
    <row r="5" spans="2:8" ht="12.75" customHeight="1" x14ac:dyDescent="0.2">
      <c r="B5" s="809"/>
      <c r="C5" s="809"/>
      <c r="D5" s="809"/>
      <c r="E5" s="809"/>
      <c r="F5" s="809"/>
      <c r="G5" s="809"/>
      <c r="H5" s="809"/>
    </row>
    <row r="6" spans="2:8" ht="12.75" customHeight="1" x14ac:dyDescent="0.2">
      <c r="B6" s="809"/>
      <c r="C6" s="809"/>
      <c r="D6" s="809"/>
      <c r="E6" s="809"/>
      <c r="F6" s="809"/>
      <c r="G6" s="809"/>
      <c r="H6" s="809"/>
    </row>
    <row r="7" spans="2:8" ht="12.75" customHeight="1" x14ac:dyDescent="0.2">
      <c r="B7" s="809"/>
      <c r="C7" s="809"/>
      <c r="D7" s="809"/>
      <c r="E7" s="809"/>
      <c r="F7" s="809"/>
      <c r="G7" s="809"/>
      <c r="H7" s="809"/>
    </row>
    <row r="8" spans="2:8" ht="12.75" customHeight="1" x14ac:dyDescent="0.2">
      <c r="B8" s="809"/>
      <c r="C8" s="809"/>
      <c r="D8" s="809"/>
      <c r="E8" s="809"/>
      <c r="F8" s="809"/>
      <c r="G8" s="809"/>
      <c r="H8" s="809"/>
    </row>
    <row r="9" spans="2:8" ht="12.75" customHeight="1" x14ac:dyDescent="0.2">
      <c r="B9" s="809"/>
      <c r="C9" s="809"/>
      <c r="D9" s="809"/>
      <c r="E9" s="809"/>
      <c r="F9" s="809"/>
      <c r="G9" s="809"/>
      <c r="H9" s="809"/>
    </row>
    <row r="10" spans="2:8" ht="12.75" customHeight="1" x14ac:dyDescent="0.2">
      <c r="B10" s="809"/>
      <c r="C10" s="809"/>
      <c r="D10" s="809"/>
      <c r="E10" s="809"/>
      <c r="F10" s="809"/>
      <c r="G10" s="809"/>
      <c r="H10" s="809"/>
    </row>
    <row r="11" spans="2:8" ht="12.75" customHeight="1" x14ac:dyDescent="0.2">
      <c r="B11" s="809"/>
      <c r="C11" s="809"/>
      <c r="D11" s="809"/>
      <c r="E11" s="809"/>
      <c r="F11" s="809"/>
      <c r="G11" s="809"/>
      <c r="H11" s="809"/>
    </row>
    <row r="12" spans="2:8" ht="12.75" customHeight="1" x14ac:dyDescent="0.2">
      <c r="B12" s="809"/>
      <c r="C12" s="809"/>
      <c r="D12" s="809"/>
      <c r="E12" s="809"/>
      <c r="F12" s="809"/>
      <c r="G12" s="809"/>
      <c r="H12" s="809"/>
    </row>
    <row r="13" spans="2:8" ht="12.75" customHeight="1" x14ac:dyDescent="0.2">
      <c r="B13" s="809"/>
      <c r="C13" s="809"/>
      <c r="D13" s="809"/>
      <c r="E13" s="809"/>
      <c r="F13" s="809"/>
      <c r="G13" s="809"/>
      <c r="H13" s="809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P47"/>
  <sheetViews>
    <sheetView topLeftCell="A19" zoomScaleSheetLayoutView="85" workbookViewId="0">
      <selection activeCell="D9" sqref="D9:E9"/>
    </sheetView>
  </sheetViews>
  <sheetFormatPr defaultRowHeight="12.75" x14ac:dyDescent="0.2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30.28515625" style="15" customWidth="1"/>
    <col min="6" max="6" width="22.42578125" style="15" customWidth="1"/>
    <col min="7" max="16384" width="9.140625" style="15"/>
  </cols>
  <sheetData>
    <row r="1" spans="1:16" customFormat="1" ht="15" x14ac:dyDescent="0.2">
      <c r="E1" s="41" t="s">
        <v>505</v>
      </c>
      <c r="F1" s="43"/>
    </row>
    <row r="2" spans="1:16" customFormat="1" ht="15" x14ac:dyDescent="0.2">
      <c r="D2" s="45" t="s">
        <v>0</v>
      </c>
      <c r="E2" s="45"/>
      <c r="F2" s="45"/>
    </row>
    <row r="3" spans="1:16" customFormat="1" ht="20.25" x14ac:dyDescent="0.3">
      <c r="B3" s="151"/>
      <c r="C3" s="863" t="s">
        <v>738</v>
      </c>
      <c r="D3" s="863"/>
      <c r="E3" s="863"/>
      <c r="F3" s="44"/>
    </row>
    <row r="4" spans="1:16" customFormat="1" ht="10.5" customHeight="1" x14ac:dyDescent="0.2"/>
    <row r="5" spans="1:16" ht="30.75" customHeight="1" x14ac:dyDescent="0.2">
      <c r="A5" s="970" t="s">
        <v>813</v>
      </c>
      <c r="B5" s="970"/>
      <c r="C5" s="970"/>
      <c r="D5" s="970"/>
      <c r="E5" s="970"/>
    </row>
    <row r="7" spans="1:16" ht="0.75" customHeight="1" x14ac:dyDescent="0.2"/>
    <row r="8" spans="1:16" ht="15" x14ac:dyDescent="0.3">
      <c r="A8" s="197" t="s">
        <v>917</v>
      </c>
      <c r="B8" s="197" t="s">
        <v>916</v>
      </c>
    </row>
    <row r="9" spans="1:16" x14ac:dyDescent="0.2">
      <c r="D9" s="928" t="s">
        <v>1186</v>
      </c>
      <c r="E9" s="928"/>
      <c r="O9" s="19"/>
      <c r="P9" s="22"/>
    </row>
    <row r="10" spans="1:16" ht="26.25" customHeight="1" x14ac:dyDescent="0.2">
      <c r="A10" s="824" t="s">
        <v>2</v>
      </c>
      <c r="B10" s="824" t="s">
        <v>3</v>
      </c>
      <c r="C10" s="976" t="s">
        <v>501</v>
      </c>
      <c r="D10" s="977"/>
      <c r="E10" s="978"/>
      <c r="O10" s="22"/>
      <c r="P10" s="22"/>
    </row>
    <row r="11" spans="1:16" ht="56.25" customHeight="1" x14ac:dyDescent="0.2">
      <c r="A11" s="824"/>
      <c r="B11" s="824"/>
      <c r="C11" s="5" t="s">
        <v>503</v>
      </c>
      <c r="D11" s="5" t="s">
        <v>504</v>
      </c>
      <c r="E11" s="5" t="s">
        <v>502</v>
      </c>
    </row>
    <row r="12" spans="1:16" s="110" customFormat="1" ht="15.75" customHeight="1" x14ac:dyDescent="0.2">
      <c r="A12" s="68">
        <v>1</v>
      </c>
      <c r="B12" s="67">
        <v>2</v>
      </c>
      <c r="C12" s="68">
        <v>3</v>
      </c>
      <c r="D12" s="67">
        <v>4</v>
      </c>
      <c r="E12" s="68">
        <v>5</v>
      </c>
    </row>
    <row r="13" spans="1:16" s="110" customFormat="1" ht="15.75" customHeight="1" x14ac:dyDescent="0.2">
      <c r="A13" s="18">
        <v>1</v>
      </c>
      <c r="B13" s="361" t="s">
        <v>890</v>
      </c>
      <c r="C13" s="440">
        <v>0</v>
      </c>
      <c r="D13" s="17">
        <v>4</v>
      </c>
      <c r="E13" s="436">
        <v>1054</v>
      </c>
    </row>
    <row r="14" spans="1:16" s="110" customFormat="1" ht="15.75" customHeight="1" x14ac:dyDescent="0.2">
      <c r="A14" s="18">
        <v>2</v>
      </c>
      <c r="B14" s="361" t="s">
        <v>891</v>
      </c>
      <c r="C14" s="440">
        <v>7</v>
      </c>
      <c r="D14" s="17">
        <v>8</v>
      </c>
      <c r="E14" s="436">
        <v>1654</v>
      </c>
    </row>
    <row r="15" spans="1:16" s="110" customFormat="1" ht="15.75" customHeight="1" x14ac:dyDescent="0.2">
      <c r="A15" s="18">
        <v>3</v>
      </c>
      <c r="B15" s="361" t="s">
        <v>892</v>
      </c>
      <c r="C15" s="440">
        <v>0</v>
      </c>
      <c r="D15" s="17">
        <v>11</v>
      </c>
      <c r="E15" s="436">
        <v>1658</v>
      </c>
    </row>
    <row r="16" spans="1:16" s="110" customFormat="1" ht="15.75" customHeight="1" x14ac:dyDescent="0.2">
      <c r="A16" s="18">
        <v>4</v>
      </c>
      <c r="B16" s="361" t="s">
        <v>893</v>
      </c>
      <c r="C16" s="440">
        <v>1</v>
      </c>
      <c r="D16" s="17">
        <v>1</v>
      </c>
      <c r="E16" s="436">
        <v>1745</v>
      </c>
    </row>
    <row r="17" spans="1:7" s="110" customFormat="1" ht="15.75" customHeight="1" x14ac:dyDescent="0.2">
      <c r="A17" s="18">
        <v>5</v>
      </c>
      <c r="B17" s="361" t="s">
        <v>894</v>
      </c>
      <c r="C17" s="440">
        <v>2</v>
      </c>
      <c r="D17" s="17">
        <v>0</v>
      </c>
      <c r="E17" s="436">
        <v>854</v>
      </c>
    </row>
    <row r="18" spans="1:7" s="110" customFormat="1" ht="15.75" customHeight="1" x14ac:dyDescent="0.2">
      <c r="A18" s="18">
        <v>6</v>
      </c>
      <c r="B18" s="361" t="s">
        <v>895</v>
      </c>
      <c r="C18" s="440">
        <v>0</v>
      </c>
      <c r="D18" s="17">
        <v>1</v>
      </c>
      <c r="E18" s="436">
        <v>687</v>
      </c>
    </row>
    <row r="19" spans="1:7" s="110" customFormat="1" ht="15.75" customHeight="1" x14ac:dyDescent="0.2">
      <c r="A19" s="18">
        <v>7</v>
      </c>
      <c r="B19" s="361" t="s">
        <v>896</v>
      </c>
      <c r="C19" s="440">
        <v>1</v>
      </c>
      <c r="D19" s="17">
        <v>0</v>
      </c>
      <c r="E19" s="436">
        <v>2215</v>
      </c>
    </row>
    <row r="20" spans="1:7" s="110" customFormat="1" ht="15.75" customHeight="1" x14ac:dyDescent="0.2">
      <c r="A20" s="18">
        <v>8</v>
      </c>
      <c r="B20" s="361" t="s">
        <v>897</v>
      </c>
      <c r="C20" s="440">
        <v>1</v>
      </c>
      <c r="D20" s="17">
        <v>2</v>
      </c>
      <c r="E20" s="436">
        <v>687</v>
      </c>
    </row>
    <row r="21" spans="1:7" s="110" customFormat="1" ht="15.75" customHeight="1" x14ac:dyDescent="0.2">
      <c r="A21" s="18">
        <v>9</v>
      </c>
      <c r="B21" s="361" t="s">
        <v>898</v>
      </c>
      <c r="C21" s="440">
        <v>2</v>
      </c>
      <c r="D21" s="17">
        <v>0</v>
      </c>
      <c r="E21" s="436">
        <v>1125</v>
      </c>
    </row>
    <row r="22" spans="1:7" s="110" customFormat="1" ht="15.75" customHeight="1" x14ac:dyDescent="0.2">
      <c r="A22" s="18">
        <v>10</v>
      </c>
      <c r="B22" s="361" t="s">
        <v>899</v>
      </c>
      <c r="C22" s="440">
        <v>1</v>
      </c>
      <c r="D22" s="17">
        <v>1</v>
      </c>
      <c r="E22" s="436">
        <v>930</v>
      </c>
    </row>
    <row r="23" spans="1:7" s="110" customFormat="1" ht="15.75" customHeight="1" x14ac:dyDescent="0.2">
      <c r="A23" s="18">
        <v>11</v>
      </c>
      <c r="B23" s="361" t="s">
        <v>900</v>
      </c>
      <c r="C23" s="440">
        <v>2</v>
      </c>
      <c r="D23" s="17">
        <v>5</v>
      </c>
      <c r="E23" s="436">
        <v>1242</v>
      </c>
    </row>
    <row r="24" spans="1:7" s="110" customFormat="1" ht="15.75" customHeight="1" x14ac:dyDescent="0.2">
      <c r="A24" s="18">
        <v>12</v>
      </c>
      <c r="B24" s="361" t="s">
        <v>901</v>
      </c>
      <c r="C24" s="440">
        <v>1</v>
      </c>
      <c r="D24" s="17">
        <v>6</v>
      </c>
      <c r="E24" s="436">
        <v>2084</v>
      </c>
    </row>
    <row r="25" spans="1:7" ht="18" customHeight="1" x14ac:dyDescent="0.2">
      <c r="A25" s="18">
        <v>13</v>
      </c>
      <c r="B25" s="361" t="s">
        <v>902</v>
      </c>
      <c r="C25" s="149">
        <v>0</v>
      </c>
      <c r="D25" s="149">
        <v>0</v>
      </c>
      <c r="E25" s="436">
        <v>1858</v>
      </c>
      <c r="G25" s="110"/>
    </row>
    <row r="26" spans="1:7" ht="13.5" customHeight="1" x14ac:dyDescent="0.2">
      <c r="A26" s="18">
        <v>14</v>
      </c>
      <c r="B26" s="361" t="s">
        <v>903</v>
      </c>
      <c r="C26" s="149">
        <v>1</v>
      </c>
      <c r="D26" s="149">
        <v>6</v>
      </c>
      <c r="E26" s="436">
        <v>1845</v>
      </c>
      <c r="G26" s="110"/>
    </row>
    <row r="27" spans="1:7" ht="12" customHeight="1" x14ac:dyDescent="0.2">
      <c r="A27" s="18">
        <v>15</v>
      </c>
      <c r="B27" s="361" t="s">
        <v>904</v>
      </c>
      <c r="C27" s="149">
        <v>1</v>
      </c>
      <c r="D27" s="149">
        <v>10</v>
      </c>
      <c r="E27" s="436">
        <v>1304</v>
      </c>
      <c r="G27" s="110"/>
    </row>
    <row r="28" spans="1:7" ht="14.25" x14ac:dyDescent="0.2">
      <c r="A28" s="18">
        <v>16</v>
      </c>
      <c r="B28" s="361" t="s">
        <v>905</v>
      </c>
      <c r="C28" s="149">
        <v>1</v>
      </c>
      <c r="D28" s="149">
        <v>5</v>
      </c>
      <c r="E28" s="436">
        <v>1478</v>
      </c>
      <c r="G28" s="110"/>
    </row>
    <row r="29" spans="1:7" ht="15.75" customHeight="1" x14ac:dyDescent="0.2">
      <c r="A29" s="18">
        <v>17</v>
      </c>
      <c r="B29" s="361" t="s">
        <v>906</v>
      </c>
      <c r="C29" s="437">
        <v>2</v>
      </c>
      <c r="D29" s="149">
        <v>4</v>
      </c>
      <c r="E29" s="436">
        <v>1699</v>
      </c>
      <c r="G29" s="110"/>
    </row>
    <row r="30" spans="1:7" ht="12.75" customHeight="1" x14ac:dyDescent="0.2">
      <c r="A30" s="18">
        <v>18</v>
      </c>
      <c r="B30" s="361" t="s">
        <v>907</v>
      </c>
      <c r="C30" s="149">
        <v>2</v>
      </c>
      <c r="D30" s="149">
        <v>5</v>
      </c>
      <c r="E30" s="436">
        <v>1266</v>
      </c>
      <c r="G30" s="110"/>
    </row>
    <row r="31" spans="1:7" ht="12.75" customHeight="1" x14ac:dyDescent="0.2">
      <c r="A31" s="18">
        <v>19</v>
      </c>
      <c r="B31" s="361" t="s">
        <v>908</v>
      </c>
      <c r="C31" s="149">
        <v>2</v>
      </c>
      <c r="D31" s="149">
        <v>10</v>
      </c>
      <c r="E31" s="436">
        <v>1577</v>
      </c>
      <c r="G31" s="110"/>
    </row>
    <row r="32" spans="1:7" ht="14.25" x14ac:dyDescent="0.2">
      <c r="A32" s="18">
        <v>20</v>
      </c>
      <c r="B32" s="361" t="s">
        <v>909</v>
      </c>
      <c r="C32" s="149">
        <v>1</v>
      </c>
      <c r="D32" s="149">
        <v>2</v>
      </c>
      <c r="E32" s="436">
        <v>748</v>
      </c>
      <c r="G32" s="110"/>
    </row>
    <row r="33" spans="1:7" ht="14.25" x14ac:dyDescent="0.2">
      <c r="A33" s="18">
        <v>21</v>
      </c>
      <c r="B33" s="361" t="s">
        <v>910</v>
      </c>
      <c r="C33" s="149">
        <v>2</v>
      </c>
      <c r="D33" s="149">
        <v>5</v>
      </c>
      <c r="E33" s="436">
        <v>419</v>
      </c>
      <c r="G33" s="110"/>
    </row>
    <row r="34" spans="1:7" ht="14.25" x14ac:dyDescent="0.2">
      <c r="A34" s="18">
        <v>22</v>
      </c>
      <c r="B34" s="361" t="s">
        <v>911</v>
      </c>
      <c r="C34" s="149">
        <v>0</v>
      </c>
      <c r="D34" s="149">
        <v>3</v>
      </c>
      <c r="E34" s="436">
        <v>2445</v>
      </c>
      <c r="G34" s="110"/>
    </row>
    <row r="35" spans="1:7" ht="14.25" x14ac:dyDescent="0.2">
      <c r="A35" s="18">
        <v>23</v>
      </c>
      <c r="B35" s="361" t="s">
        <v>912</v>
      </c>
      <c r="C35" s="149">
        <v>2</v>
      </c>
      <c r="D35" s="149">
        <v>4</v>
      </c>
      <c r="E35" s="436">
        <v>1185</v>
      </c>
      <c r="G35" s="110"/>
    </row>
    <row r="36" spans="1:7" ht="14.25" x14ac:dyDescent="0.2">
      <c r="A36" s="18">
        <v>24</v>
      </c>
      <c r="B36" s="361" t="s">
        <v>913</v>
      </c>
      <c r="C36" s="149">
        <v>1</v>
      </c>
      <c r="D36" s="149">
        <v>2</v>
      </c>
      <c r="E36" s="436">
        <v>2239</v>
      </c>
      <c r="G36" s="110"/>
    </row>
    <row r="37" spans="1:7" ht="14.25" x14ac:dyDescent="0.2">
      <c r="A37" s="18">
        <v>25</v>
      </c>
      <c r="B37" s="361" t="s">
        <v>919</v>
      </c>
      <c r="C37" s="149">
        <v>0</v>
      </c>
      <c r="D37" s="149">
        <v>0</v>
      </c>
      <c r="E37" s="436">
        <v>1688</v>
      </c>
      <c r="G37" s="110"/>
    </row>
    <row r="38" spans="1:7" ht="14.25" x14ac:dyDescent="0.2">
      <c r="A38" s="18">
        <v>26</v>
      </c>
      <c r="B38" s="361" t="s">
        <v>914</v>
      </c>
      <c r="C38" s="149">
        <v>2</v>
      </c>
      <c r="D38" s="149">
        <v>2</v>
      </c>
      <c r="E38" s="436">
        <v>879</v>
      </c>
      <c r="G38" s="110"/>
    </row>
    <row r="39" spans="1:7" ht="15" x14ac:dyDescent="0.2">
      <c r="A39" s="18">
        <v>27</v>
      </c>
      <c r="B39" s="362" t="s">
        <v>915</v>
      </c>
      <c r="C39" s="149">
        <v>2</v>
      </c>
      <c r="D39" s="149">
        <v>4</v>
      </c>
      <c r="E39" s="436">
        <v>1777</v>
      </c>
      <c r="G39" s="110"/>
    </row>
    <row r="40" spans="1:7" x14ac:dyDescent="0.2">
      <c r="A40" s="3" t="s">
        <v>18</v>
      </c>
      <c r="B40" s="19"/>
      <c r="C40" s="3">
        <f>SUM(C13:C39)</f>
        <v>37</v>
      </c>
      <c r="D40" s="3">
        <f>SUM(D13:D39)</f>
        <v>101</v>
      </c>
      <c r="E40" s="30">
        <f>SUM(E13:E39)</f>
        <v>38342</v>
      </c>
    </row>
    <row r="41" spans="1:7" x14ac:dyDescent="0.2">
      <c r="E41" s="31"/>
    </row>
    <row r="42" spans="1:7" x14ac:dyDescent="0.2">
      <c r="E42" s="11"/>
    </row>
    <row r="43" spans="1:7" s="569" customFormat="1" x14ac:dyDescent="0.2">
      <c r="A43" s="36"/>
      <c r="E43" s="36"/>
      <c r="F43" s="561"/>
    </row>
    <row r="44" spans="1:7" s="569" customFormat="1" ht="12.75" customHeight="1" x14ac:dyDescent="0.2">
      <c r="B44" s="810" t="s">
        <v>13</v>
      </c>
      <c r="C44" s="810"/>
      <c r="D44" s="810"/>
      <c r="E44" s="810"/>
      <c r="F44" s="810"/>
    </row>
    <row r="45" spans="1:7" s="569" customFormat="1" ht="12.75" customHeight="1" x14ac:dyDescent="0.2">
      <c r="B45" s="810" t="s">
        <v>14</v>
      </c>
      <c r="C45" s="810"/>
      <c r="D45" s="810"/>
      <c r="E45" s="810"/>
      <c r="F45" s="810"/>
    </row>
    <row r="46" spans="1:7" s="569" customFormat="1" x14ac:dyDescent="0.2">
      <c r="B46" s="810" t="s">
        <v>918</v>
      </c>
      <c r="C46" s="810"/>
      <c r="D46" s="810"/>
      <c r="E46" s="810"/>
      <c r="F46" s="810"/>
    </row>
    <row r="47" spans="1:7" ht="15" x14ac:dyDescent="0.25">
      <c r="A47" s="492" t="s">
        <v>12</v>
      </c>
      <c r="B47" s="657"/>
      <c r="C47" s="207" t="s">
        <v>82</v>
      </c>
      <c r="D47" s="207"/>
      <c r="E47" s="207"/>
      <c r="F47" s="207"/>
    </row>
  </sheetData>
  <mergeCells count="9">
    <mergeCell ref="B44:F44"/>
    <mergeCell ref="B45:F45"/>
    <mergeCell ref="B46:F46"/>
    <mergeCell ref="C3:E3"/>
    <mergeCell ref="A5:E5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J46"/>
  <sheetViews>
    <sheetView zoomScaleSheetLayoutView="110" workbookViewId="0">
      <selection activeCell="G6" sqref="G6:I6"/>
    </sheetView>
  </sheetViews>
  <sheetFormatPr defaultRowHeight="12.75" x14ac:dyDescent="0.2"/>
  <cols>
    <col min="1" max="1" width="8.28515625" customWidth="1"/>
    <col min="2" max="2" width="1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980" t="s">
        <v>663</v>
      </c>
      <c r="I1" s="980"/>
    </row>
    <row r="2" spans="1:10" ht="18" x14ac:dyDescent="0.35">
      <c r="C2" s="922" t="s">
        <v>0</v>
      </c>
      <c r="D2" s="922"/>
      <c r="E2" s="922"/>
      <c r="F2" s="922"/>
      <c r="G2" s="922"/>
      <c r="H2" s="236"/>
      <c r="I2" s="223"/>
      <c r="J2" s="223"/>
    </row>
    <row r="3" spans="1:10" ht="21" x14ac:dyDescent="0.35">
      <c r="B3" s="923" t="s">
        <v>738</v>
      </c>
      <c r="C3" s="923"/>
      <c r="D3" s="923"/>
      <c r="E3" s="923"/>
      <c r="F3" s="923"/>
      <c r="G3" s="923"/>
      <c r="H3" s="224"/>
      <c r="I3" s="224"/>
      <c r="J3" s="224"/>
    </row>
    <row r="4" spans="1:10" ht="21" x14ac:dyDescent="0.35">
      <c r="C4" s="195"/>
      <c r="D4" s="195"/>
      <c r="E4" s="195"/>
      <c r="F4" s="195"/>
      <c r="G4" s="195"/>
      <c r="H4" s="195"/>
      <c r="I4" s="224"/>
      <c r="J4" s="224"/>
    </row>
    <row r="5" spans="1:10" ht="20.25" customHeight="1" x14ac:dyDescent="0.2">
      <c r="C5" s="981" t="s">
        <v>814</v>
      </c>
      <c r="D5" s="981"/>
      <c r="E5" s="981"/>
      <c r="F5" s="981"/>
      <c r="G5" s="981"/>
      <c r="H5" s="981"/>
    </row>
    <row r="6" spans="1:10" ht="20.25" customHeight="1" x14ac:dyDescent="0.3">
      <c r="A6" s="197" t="s">
        <v>917</v>
      </c>
      <c r="B6" s="197" t="s">
        <v>916</v>
      </c>
      <c r="C6" s="227"/>
      <c r="D6" s="227"/>
      <c r="E6" s="227"/>
      <c r="F6" s="227"/>
      <c r="G6" s="925" t="s">
        <v>1186</v>
      </c>
      <c r="H6" s="925"/>
      <c r="I6" s="925"/>
    </row>
    <row r="7" spans="1:10" ht="15" customHeight="1" x14ac:dyDescent="0.2">
      <c r="A7" s="979" t="s">
        <v>72</v>
      </c>
      <c r="B7" s="979" t="s">
        <v>35</v>
      </c>
      <c r="C7" s="979" t="s">
        <v>408</v>
      </c>
      <c r="D7" s="979" t="s">
        <v>388</v>
      </c>
      <c r="E7" s="979" t="s">
        <v>387</v>
      </c>
      <c r="F7" s="979"/>
      <c r="G7" s="979"/>
      <c r="H7" s="979" t="s">
        <v>724</v>
      </c>
      <c r="I7" s="982" t="s">
        <v>412</v>
      </c>
    </row>
    <row r="8" spans="1:10" ht="12.75" customHeight="1" x14ac:dyDescent="0.2">
      <c r="A8" s="979"/>
      <c r="B8" s="979"/>
      <c r="C8" s="979"/>
      <c r="D8" s="979"/>
      <c r="E8" s="979" t="s">
        <v>409</v>
      </c>
      <c r="F8" s="982" t="s">
        <v>410</v>
      </c>
      <c r="G8" s="979" t="s">
        <v>411</v>
      </c>
      <c r="H8" s="979"/>
      <c r="I8" s="983"/>
    </row>
    <row r="9" spans="1:10" ht="20.25" customHeight="1" x14ac:dyDescent="0.2">
      <c r="A9" s="979"/>
      <c r="B9" s="979"/>
      <c r="C9" s="979"/>
      <c r="D9" s="979"/>
      <c r="E9" s="979"/>
      <c r="F9" s="983"/>
      <c r="G9" s="979"/>
      <c r="H9" s="979"/>
      <c r="I9" s="983"/>
    </row>
    <row r="10" spans="1:10" ht="63.75" customHeight="1" x14ac:dyDescent="0.2">
      <c r="A10" s="979"/>
      <c r="B10" s="979"/>
      <c r="C10" s="979"/>
      <c r="D10" s="979"/>
      <c r="E10" s="979"/>
      <c r="F10" s="984"/>
      <c r="G10" s="979"/>
      <c r="H10" s="979"/>
      <c r="I10" s="984"/>
    </row>
    <row r="11" spans="1:10" ht="15" x14ac:dyDescent="0.25">
      <c r="A11" s="229">
        <v>1</v>
      </c>
      <c r="B11" s="229">
        <v>2</v>
      </c>
      <c r="C11" s="230">
        <v>3</v>
      </c>
      <c r="D11" s="229">
        <v>4</v>
      </c>
      <c r="E11" s="229">
        <v>5</v>
      </c>
      <c r="F11" s="230">
        <v>6</v>
      </c>
      <c r="G11" s="229">
        <v>7</v>
      </c>
      <c r="H11" s="229">
        <v>8</v>
      </c>
      <c r="I11" s="230">
        <v>9</v>
      </c>
    </row>
    <row r="12" spans="1:10" ht="15" x14ac:dyDescent="0.25">
      <c r="A12" s="280">
        <v>1</v>
      </c>
      <c r="B12" s="361" t="s">
        <v>890</v>
      </c>
      <c r="C12" s="278"/>
      <c r="D12" s="279"/>
      <c r="E12" s="279"/>
      <c r="F12" s="278"/>
      <c r="G12" s="279"/>
      <c r="H12" s="279"/>
      <c r="I12" s="230"/>
    </row>
    <row r="13" spans="1:10" ht="15" x14ac:dyDescent="0.25">
      <c r="A13" s="280">
        <v>2</v>
      </c>
      <c r="B13" s="361" t="s">
        <v>891</v>
      </c>
      <c r="C13" s="278"/>
      <c r="D13" s="279"/>
      <c r="E13" s="279"/>
      <c r="F13" s="278"/>
      <c r="G13" s="279"/>
      <c r="H13" s="279"/>
      <c r="I13" s="230"/>
    </row>
    <row r="14" spans="1:10" ht="15" x14ac:dyDescent="0.25">
      <c r="A14" s="280">
        <v>3</v>
      </c>
      <c r="B14" s="361" t="s">
        <v>892</v>
      </c>
      <c r="C14" s="278"/>
      <c r="D14" s="279"/>
      <c r="E14" s="279"/>
      <c r="F14" s="278"/>
      <c r="G14" s="279"/>
      <c r="H14" s="279"/>
      <c r="I14" s="230"/>
    </row>
    <row r="15" spans="1:10" ht="15" x14ac:dyDescent="0.25">
      <c r="A15" s="280">
        <v>4</v>
      </c>
      <c r="B15" s="361" t="s">
        <v>893</v>
      </c>
      <c r="C15" s="278"/>
      <c r="D15" s="279"/>
      <c r="E15" s="279"/>
      <c r="F15" s="278"/>
      <c r="G15" s="279"/>
      <c r="H15" s="279"/>
      <c r="I15" s="230"/>
    </row>
    <row r="16" spans="1:10" ht="15" x14ac:dyDescent="0.25">
      <c r="A16" s="280">
        <v>5</v>
      </c>
      <c r="B16" s="361" t="s">
        <v>894</v>
      </c>
      <c r="C16" s="278"/>
      <c r="D16" s="279"/>
      <c r="E16" s="279"/>
      <c r="F16" s="278"/>
      <c r="G16" s="279"/>
      <c r="H16" s="279"/>
      <c r="I16" s="230"/>
    </row>
    <row r="17" spans="1:9" ht="15" x14ac:dyDescent="0.25">
      <c r="A17" s="280">
        <v>6</v>
      </c>
      <c r="B17" s="361" t="s">
        <v>895</v>
      </c>
      <c r="C17" s="278"/>
      <c r="D17" s="279"/>
      <c r="E17" s="279"/>
      <c r="F17" s="278"/>
      <c r="G17" s="279"/>
      <c r="H17" s="279"/>
      <c r="I17" s="230"/>
    </row>
    <row r="18" spans="1:9" ht="15" x14ac:dyDescent="0.25">
      <c r="A18" s="280">
        <v>7</v>
      </c>
      <c r="B18" s="361" t="s">
        <v>896</v>
      </c>
      <c r="C18" s="278"/>
      <c r="D18" s="279"/>
      <c r="E18" s="279"/>
      <c r="F18" s="278"/>
      <c r="G18" s="279"/>
      <c r="H18" s="279"/>
      <c r="I18" s="230"/>
    </row>
    <row r="19" spans="1:9" ht="15" x14ac:dyDescent="0.25">
      <c r="A19" s="280">
        <v>8</v>
      </c>
      <c r="B19" s="361" t="s">
        <v>897</v>
      </c>
      <c r="C19" s="278"/>
      <c r="D19" s="279"/>
      <c r="E19" s="279"/>
      <c r="F19" s="278"/>
      <c r="G19" s="279"/>
      <c r="H19" s="279"/>
      <c r="I19" s="230"/>
    </row>
    <row r="20" spans="1:9" ht="15" x14ac:dyDescent="0.25">
      <c r="A20" s="280">
        <v>9</v>
      </c>
      <c r="B20" s="361" t="s">
        <v>898</v>
      </c>
      <c r="C20" s="278"/>
      <c r="D20" s="279"/>
      <c r="E20" s="279"/>
      <c r="F20" s="278"/>
      <c r="G20" s="279"/>
      <c r="H20" s="279"/>
      <c r="I20" s="230"/>
    </row>
    <row r="21" spans="1:9" ht="15" x14ac:dyDescent="0.25">
      <c r="A21" s="280">
        <v>10</v>
      </c>
      <c r="B21" s="361" t="s">
        <v>899</v>
      </c>
      <c r="C21" s="278"/>
      <c r="D21" s="279"/>
      <c r="E21" s="279"/>
      <c r="F21" s="278"/>
      <c r="G21" s="279"/>
      <c r="H21" s="279"/>
      <c r="I21" s="230"/>
    </row>
    <row r="22" spans="1:9" ht="15" x14ac:dyDescent="0.25">
      <c r="A22" s="280">
        <v>11</v>
      </c>
      <c r="B22" s="361" t="s">
        <v>900</v>
      </c>
      <c r="C22" s="278"/>
      <c r="D22" s="279"/>
      <c r="E22" s="279"/>
      <c r="F22" s="278"/>
      <c r="G22" s="279"/>
      <c r="H22" s="278"/>
      <c r="I22" s="229"/>
    </row>
    <row r="23" spans="1:9" ht="15" x14ac:dyDescent="0.25">
      <c r="A23" s="280">
        <v>12</v>
      </c>
      <c r="B23" s="361" t="s">
        <v>901</v>
      </c>
      <c r="C23" s="278"/>
      <c r="D23" s="279"/>
      <c r="E23" s="279"/>
      <c r="F23" s="278"/>
      <c r="G23" s="279"/>
      <c r="H23" s="278"/>
      <c r="I23" s="229"/>
    </row>
    <row r="24" spans="1:9" ht="15" x14ac:dyDescent="0.25">
      <c r="A24" s="280">
        <v>13</v>
      </c>
      <c r="B24" s="361" t="s">
        <v>902</v>
      </c>
      <c r="C24" s="278"/>
      <c r="D24" s="279"/>
      <c r="E24" s="279"/>
      <c r="F24" s="278"/>
      <c r="G24" s="279"/>
      <c r="H24" s="278"/>
      <c r="I24" s="229"/>
    </row>
    <row r="25" spans="1:9" ht="15" x14ac:dyDescent="0.25">
      <c r="A25" s="280">
        <v>14</v>
      </c>
      <c r="B25" s="361" t="s">
        <v>903</v>
      </c>
      <c r="C25" s="278"/>
      <c r="D25" s="279"/>
      <c r="E25" s="279"/>
      <c r="F25" s="278"/>
      <c r="G25" s="279"/>
      <c r="H25" s="278"/>
      <c r="I25" s="229"/>
    </row>
    <row r="26" spans="1:9" ht="15" x14ac:dyDescent="0.25">
      <c r="A26" s="280">
        <v>15</v>
      </c>
      <c r="B26" s="361" t="s">
        <v>904</v>
      </c>
      <c r="C26" s="278"/>
      <c r="D26" s="279"/>
      <c r="E26" s="279"/>
      <c r="F26" s="278"/>
      <c r="G26" s="279"/>
      <c r="H26" s="278"/>
      <c r="I26" s="229"/>
    </row>
    <row r="27" spans="1:9" ht="15" x14ac:dyDescent="0.25">
      <c r="A27" s="280">
        <v>16</v>
      </c>
      <c r="B27" s="361" t="s">
        <v>905</v>
      </c>
      <c r="C27" s="278"/>
      <c r="D27" s="279"/>
      <c r="E27" s="279"/>
      <c r="F27" s="278"/>
      <c r="G27" s="279"/>
      <c r="H27" s="278"/>
      <c r="I27" s="229"/>
    </row>
    <row r="28" spans="1:9" ht="15" x14ac:dyDescent="0.25">
      <c r="A28" s="280">
        <v>17</v>
      </c>
      <c r="B28" s="361" t="s">
        <v>906</v>
      </c>
      <c r="C28" s="278"/>
      <c r="D28" s="279"/>
      <c r="E28" s="279"/>
      <c r="F28" s="278"/>
      <c r="G28" s="279"/>
      <c r="H28" s="278"/>
      <c r="I28" s="229"/>
    </row>
    <row r="29" spans="1:9" ht="15" x14ac:dyDescent="0.25">
      <c r="A29" s="280">
        <v>18</v>
      </c>
      <c r="B29" s="361" t="s">
        <v>907</v>
      </c>
      <c r="C29" s="278"/>
      <c r="D29" s="279"/>
      <c r="E29" s="279"/>
      <c r="F29" s="278"/>
      <c r="G29" s="279"/>
      <c r="H29" s="278"/>
      <c r="I29" s="229"/>
    </row>
    <row r="30" spans="1:9" ht="15" x14ac:dyDescent="0.25">
      <c r="A30" s="280">
        <v>19</v>
      </c>
      <c r="B30" s="361" t="s">
        <v>908</v>
      </c>
      <c r="C30" s="231"/>
      <c r="D30" s="231"/>
      <c r="E30" s="231"/>
      <c r="F30" s="231"/>
      <c r="G30" s="231"/>
      <c r="H30" s="231"/>
      <c r="I30" s="9"/>
    </row>
    <row r="31" spans="1:9" ht="15" x14ac:dyDescent="0.25">
      <c r="A31" s="280">
        <v>20</v>
      </c>
      <c r="B31" s="361" t="s">
        <v>909</v>
      </c>
      <c r="C31" s="232"/>
      <c r="D31" s="232"/>
      <c r="E31" s="232"/>
      <c r="F31" s="232"/>
      <c r="G31" s="232"/>
      <c r="H31" s="232"/>
      <c r="I31" s="9"/>
    </row>
    <row r="32" spans="1:9" ht="15" x14ac:dyDescent="0.25">
      <c r="A32" s="280">
        <v>21</v>
      </c>
      <c r="B32" s="361" t="s">
        <v>910</v>
      </c>
      <c r="C32" s="232"/>
      <c r="D32" s="232"/>
      <c r="E32" s="232"/>
      <c r="F32" s="232"/>
      <c r="G32" s="232"/>
      <c r="H32" s="232"/>
      <c r="I32" s="9"/>
    </row>
    <row r="33" spans="1:9" ht="15" x14ac:dyDescent="0.25">
      <c r="A33" s="280">
        <v>22</v>
      </c>
      <c r="B33" s="361" t="s">
        <v>911</v>
      </c>
      <c r="C33" s="232"/>
      <c r="D33" s="232"/>
      <c r="E33" s="232"/>
      <c r="F33" s="232"/>
      <c r="G33" s="232"/>
      <c r="H33" s="232"/>
      <c r="I33" s="9"/>
    </row>
    <row r="34" spans="1:9" ht="15" x14ac:dyDescent="0.25">
      <c r="A34" s="280">
        <v>23</v>
      </c>
      <c r="B34" s="361" t="s">
        <v>912</v>
      </c>
      <c r="C34" s="9"/>
      <c r="D34" s="9"/>
      <c r="E34" s="9"/>
      <c r="F34" s="9"/>
      <c r="G34" s="9"/>
      <c r="H34" s="9"/>
      <c r="I34" s="9"/>
    </row>
    <row r="35" spans="1:9" ht="15" x14ac:dyDescent="0.25">
      <c r="A35" s="280">
        <v>24</v>
      </c>
      <c r="B35" s="361" t="s">
        <v>913</v>
      </c>
      <c r="C35" s="9"/>
      <c r="D35" s="9"/>
      <c r="E35" s="9"/>
      <c r="F35" s="9"/>
      <c r="G35" s="9"/>
      <c r="H35" s="9"/>
      <c r="I35" s="9"/>
    </row>
    <row r="36" spans="1:9" ht="15" x14ac:dyDescent="0.25">
      <c r="A36" s="280">
        <v>25</v>
      </c>
      <c r="B36" s="361" t="s">
        <v>919</v>
      </c>
      <c r="C36" s="9"/>
      <c r="D36" s="9"/>
      <c r="E36" s="9"/>
      <c r="F36" s="9"/>
      <c r="G36" s="9"/>
      <c r="H36" s="9"/>
      <c r="I36" s="9"/>
    </row>
    <row r="37" spans="1:9" ht="15" x14ac:dyDescent="0.25">
      <c r="A37" s="280">
        <v>26</v>
      </c>
      <c r="B37" s="361" t="s">
        <v>914</v>
      </c>
      <c r="C37" s="9"/>
      <c r="D37" s="9"/>
      <c r="E37" s="9"/>
      <c r="F37" s="9"/>
      <c r="G37" s="9"/>
      <c r="H37" s="9"/>
      <c r="I37" s="9"/>
    </row>
    <row r="38" spans="1:9" ht="15" x14ac:dyDescent="0.25">
      <c r="A38" s="280">
        <v>27</v>
      </c>
      <c r="B38" s="362" t="s">
        <v>915</v>
      </c>
      <c r="C38" s="9"/>
      <c r="D38" s="9"/>
      <c r="E38" s="9"/>
      <c r="F38" s="9"/>
      <c r="G38" s="9"/>
      <c r="H38" s="9"/>
      <c r="I38" s="9"/>
    </row>
    <row r="39" spans="1:9" x14ac:dyDescent="0.2">
      <c r="A39" s="30" t="s">
        <v>18</v>
      </c>
      <c r="B39" s="9"/>
      <c r="C39" s="9"/>
      <c r="D39" s="9"/>
      <c r="E39" s="9"/>
      <c r="F39" s="9"/>
      <c r="G39" s="9"/>
      <c r="H39" s="9"/>
      <c r="I39" s="9"/>
    </row>
    <row r="41" spans="1:9" s="488" customFormat="1" x14ac:dyDescent="0.2">
      <c r="A41" s="203"/>
      <c r="B41" s="203"/>
      <c r="C41" s="203"/>
      <c r="D41" s="203"/>
      <c r="G41" s="566"/>
    </row>
    <row r="42" spans="1:9" s="488" customFormat="1" ht="15" customHeight="1" x14ac:dyDescent="0.2">
      <c r="A42" s="203"/>
      <c r="B42" s="203"/>
      <c r="C42" s="203"/>
      <c r="D42" s="203"/>
      <c r="F42" s="215"/>
      <c r="G42" s="215"/>
      <c r="H42" s="215"/>
    </row>
    <row r="43" spans="1:9" s="488" customFormat="1" ht="15" customHeight="1" x14ac:dyDescent="0.2">
      <c r="A43" s="203"/>
      <c r="B43" s="203"/>
      <c r="C43" s="203"/>
      <c r="D43" s="203"/>
      <c r="E43" s="810" t="s">
        <v>13</v>
      </c>
      <c r="F43" s="810"/>
      <c r="G43" s="810"/>
      <c r="H43" s="810"/>
      <c r="I43" s="810"/>
    </row>
    <row r="44" spans="1:9" s="488" customFormat="1" ht="12.75" customHeight="1" x14ac:dyDescent="0.2">
      <c r="A44" s="203"/>
      <c r="C44" s="203"/>
      <c r="D44" s="203"/>
      <c r="E44" s="810" t="s">
        <v>14</v>
      </c>
      <c r="F44" s="810"/>
      <c r="G44" s="810"/>
      <c r="H44" s="810"/>
      <c r="I44" s="810"/>
    </row>
    <row r="45" spans="1:9" x14ac:dyDescent="0.2">
      <c r="E45" s="810" t="s">
        <v>918</v>
      </c>
      <c r="F45" s="810"/>
      <c r="G45" s="810"/>
      <c r="H45" s="810"/>
      <c r="I45" s="810"/>
    </row>
    <row r="46" spans="1:9" ht="15" x14ac:dyDescent="0.25">
      <c r="A46" s="492" t="s">
        <v>12</v>
      </c>
      <c r="E46" s="657"/>
      <c r="F46" s="207" t="s">
        <v>82</v>
      </c>
      <c r="G46" s="207"/>
      <c r="H46" s="207"/>
      <c r="I46" s="207"/>
    </row>
  </sheetData>
  <mergeCells count="18">
    <mergeCell ref="E43:I43"/>
    <mergeCell ref="E44:I44"/>
    <mergeCell ref="E45:I45"/>
    <mergeCell ref="H1:I1"/>
    <mergeCell ref="C5:H5"/>
    <mergeCell ref="D7:D10"/>
    <mergeCell ref="C2:G2"/>
    <mergeCell ref="B3:G3"/>
    <mergeCell ref="I7:I10"/>
    <mergeCell ref="E8:E10"/>
    <mergeCell ref="F8:F10"/>
    <mergeCell ref="G6:I6"/>
    <mergeCell ref="A7:A10"/>
    <mergeCell ref="G8:G10"/>
    <mergeCell ref="H7:H10"/>
    <mergeCell ref="B7:B10"/>
    <mergeCell ref="C7:C10"/>
    <mergeCell ref="E7:G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K18"/>
  <sheetViews>
    <sheetView zoomScaleSheetLayoutView="120" workbookViewId="0">
      <selection activeCell="I5" sqref="I5:J5"/>
    </sheetView>
  </sheetViews>
  <sheetFormatPr defaultRowHeight="12.75" x14ac:dyDescent="0.2"/>
  <cols>
    <col min="2" max="2" width="13.28515625" customWidth="1"/>
    <col min="6" max="6" width="11.5703125" customWidth="1"/>
    <col min="7" max="7" width="7.7109375" customWidth="1"/>
    <col min="8" max="8" width="18.5703125" customWidth="1"/>
    <col min="9" max="9" width="13.28515625" customWidth="1"/>
    <col min="10" max="10" width="22.85546875" customWidth="1"/>
  </cols>
  <sheetData>
    <row r="1" spans="1:11" ht="18" x14ac:dyDescent="0.35">
      <c r="A1" s="922" t="s">
        <v>0</v>
      </c>
      <c r="B1" s="922"/>
      <c r="C1" s="922"/>
      <c r="D1" s="922"/>
      <c r="E1" s="922"/>
      <c r="F1" s="922"/>
      <c r="G1" s="922"/>
      <c r="H1" s="922"/>
      <c r="I1" s="223"/>
      <c r="J1" s="284" t="s">
        <v>544</v>
      </c>
    </row>
    <row r="2" spans="1:11" ht="21" x14ac:dyDescent="0.35">
      <c r="A2" s="923" t="s">
        <v>738</v>
      </c>
      <c r="B2" s="923"/>
      <c r="C2" s="923"/>
      <c r="D2" s="923"/>
      <c r="E2" s="923"/>
      <c r="F2" s="923"/>
      <c r="G2" s="923"/>
      <c r="H2" s="923"/>
      <c r="I2" s="923"/>
      <c r="J2" s="923"/>
    </row>
    <row r="3" spans="1:11" ht="15" x14ac:dyDescent="0.3">
      <c r="A3" s="196"/>
      <c r="B3" s="196"/>
      <c r="C3" s="196"/>
      <c r="D3" s="196"/>
      <c r="E3" s="196"/>
      <c r="F3" s="196"/>
      <c r="G3" s="196"/>
      <c r="H3" s="196"/>
      <c r="I3" s="196"/>
    </row>
    <row r="4" spans="1:11" ht="18" x14ac:dyDescent="0.35">
      <c r="A4" s="922" t="s">
        <v>543</v>
      </c>
      <c r="B4" s="922"/>
      <c r="C4" s="922"/>
      <c r="D4" s="922"/>
      <c r="E4" s="922"/>
      <c r="F4" s="922"/>
      <c r="G4" s="922"/>
      <c r="H4" s="922"/>
      <c r="I4" s="922"/>
    </row>
    <row r="5" spans="1:11" ht="15" x14ac:dyDescent="0.3">
      <c r="A5" s="197" t="s">
        <v>917</v>
      </c>
      <c r="B5" s="197" t="s">
        <v>916</v>
      </c>
      <c r="C5" s="197"/>
      <c r="D5" s="197"/>
      <c r="E5" s="197"/>
      <c r="F5" s="197"/>
      <c r="G5" s="197"/>
      <c r="H5" s="197"/>
      <c r="I5" s="989" t="s">
        <v>1186</v>
      </c>
      <c r="J5" s="990"/>
    </row>
    <row r="6" spans="1:11" ht="25.5" customHeight="1" x14ac:dyDescent="0.2">
      <c r="A6" s="985" t="s">
        <v>927</v>
      </c>
      <c r="B6" s="985" t="s">
        <v>389</v>
      </c>
      <c r="C6" s="824" t="s">
        <v>390</v>
      </c>
      <c r="D6" s="824"/>
      <c r="E6" s="824"/>
      <c r="F6" s="986" t="s">
        <v>393</v>
      </c>
      <c r="G6" s="987"/>
      <c r="H6" s="987"/>
      <c r="I6" s="988"/>
      <c r="J6" s="991" t="s">
        <v>954</v>
      </c>
    </row>
    <row r="7" spans="1:11" ht="63" customHeight="1" x14ac:dyDescent="0.2">
      <c r="A7" s="985"/>
      <c r="B7" s="985"/>
      <c r="C7" s="5" t="s">
        <v>99</v>
      </c>
      <c r="D7" s="5" t="s">
        <v>391</v>
      </c>
      <c r="E7" s="5" t="s">
        <v>392</v>
      </c>
      <c r="F7" s="226" t="s">
        <v>394</v>
      </c>
      <c r="G7" s="226" t="s">
        <v>395</v>
      </c>
      <c r="H7" s="226" t="s">
        <v>396</v>
      </c>
      <c r="I7" s="226" t="s">
        <v>45</v>
      </c>
      <c r="J7" s="992"/>
    </row>
    <row r="8" spans="1:11" ht="15" x14ac:dyDescent="0.2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264</v>
      </c>
      <c r="G8" s="200" t="s">
        <v>283</v>
      </c>
      <c r="H8" s="200" t="s">
        <v>284</v>
      </c>
      <c r="I8" s="200" t="s">
        <v>285</v>
      </c>
      <c r="J8" s="200" t="s">
        <v>313</v>
      </c>
    </row>
    <row r="9" spans="1:11" ht="30" x14ac:dyDescent="0.25">
      <c r="A9" s="280">
        <v>1</v>
      </c>
      <c r="B9" s="200">
        <v>155</v>
      </c>
      <c r="C9" s="200">
        <v>1</v>
      </c>
      <c r="D9" s="200">
        <v>154</v>
      </c>
      <c r="E9" s="200"/>
      <c r="F9" s="200">
        <v>155</v>
      </c>
      <c r="G9" s="200"/>
      <c r="H9" s="200"/>
      <c r="I9" s="200" t="s">
        <v>1143</v>
      </c>
      <c r="J9" s="766" t="s">
        <v>1140</v>
      </c>
      <c r="K9" s="765"/>
    </row>
    <row r="10" spans="1:11" ht="15" x14ac:dyDescent="0.25">
      <c r="A10" s="280">
        <v>2</v>
      </c>
      <c r="B10" s="200">
        <v>5</v>
      </c>
      <c r="C10" s="200"/>
      <c r="D10" s="200">
        <v>5</v>
      </c>
      <c r="E10" s="200"/>
      <c r="F10" s="200"/>
      <c r="G10" s="200"/>
      <c r="H10" s="200" t="s">
        <v>955</v>
      </c>
      <c r="I10" s="200"/>
      <c r="J10" s="764" t="s">
        <v>1141</v>
      </c>
    </row>
    <row r="11" spans="1:11" x14ac:dyDescent="0.2">
      <c r="A11" s="30" t="s">
        <v>18</v>
      </c>
      <c r="B11" s="9"/>
      <c r="C11" s="9"/>
      <c r="D11" s="9"/>
      <c r="E11" s="9"/>
      <c r="F11" s="9"/>
      <c r="G11" s="9"/>
      <c r="H11" s="9"/>
      <c r="I11" s="9"/>
      <c r="J11" s="766" t="s">
        <v>1142</v>
      </c>
      <c r="K11" s="765"/>
    </row>
    <row r="13" spans="1:11" ht="31.5" customHeight="1" x14ac:dyDescent="0.2"/>
    <row r="14" spans="1:11" s="488" customFormat="1" ht="12.75" customHeight="1" x14ac:dyDescent="0.2">
      <c r="A14" s="203"/>
      <c r="B14" s="203"/>
      <c r="C14" s="203"/>
      <c r="D14" s="203"/>
      <c r="I14" s="215"/>
      <c r="J14" s="215"/>
    </row>
    <row r="15" spans="1:11" s="488" customFormat="1" ht="12.75" customHeight="1" x14ac:dyDescent="0.2">
      <c r="A15" s="203"/>
      <c r="B15" s="203"/>
      <c r="C15" s="203"/>
      <c r="D15" s="203"/>
      <c r="F15" s="810" t="s">
        <v>13</v>
      </c>
      <c r="G15" s="810"/>
      <c r="H15" s="810"/>
      <c r="I15" s="810"/>
      <c r="J15" s="810"/>
    </row>
    <row r="16" spans="1:11" s="488" customFormat="1" ht="12.75" customHeight="1" x14ac:dyDescent="0.2">
      <c r="A16" s="203"/>
      <c r="B16" s="203"/>
      <c r="C16" s="203"/>
      <c r="D16" s="203"/>
      <c r="F16" s="810" t="s">
        <v>14</v>
      </c>
      <c r="G16" s="810"/>
      <c r="H16" s="810"/>
      <c r="I16" s="810"/>
      <c r="J16" s="810"/>
    </row>
    <row r="17" spans="1:10" s="488" customFormat="1" x14ac:dyDescent="0.2">
      <c r="A17" s="203"/>
      <c r="C17" s="203"/>
      <c r="D17" s="203"/>
      <c r="F17" s="810" t="s">
        <v>918</v>
      </c>
      <c r="G17" s="810"/>
      <c r="H17" s="810"/>
      <c r="I17" s="810"/>
      <c r="J17" s="810"/>
    </row>
    <row r="18" spans="1:10" ht="15" x14ac:dyDescent="0.25">
      <c r="A18" s="492" t="s">
        <v>12</v>
      </c>
      <c r="F18" s="657"/>
      <c r="G18" s="207" t="s">
        <v>82</v>
      </c>
      <c r="H18" s="207"/>
      <c r="I18" s="207"/>
      <c r="J18" s="207"/>
    </row>
  </sheetData>
  <mergeCells count="12">
    <mergeCell ref="F15:J15"/>
    <mergeCell ref="F16:J16"/>
    <mergeCell ref="F17:J17"/>
    <mergeCell ref="I5:J5"/>
    <mergeCell ref="J6:J7"/>
    <mergeCell ref="A1:H1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H33"/>
  <sheetViews>
    <sheetView zoomScaleSheetLayoutView="80" workbookViewId="0">
      <selection activeCell="F10" sqref="F10:H10"/>
    </sheetView>
  </sheetViews>
  <sheetFormatPr defaultRowHeight="12.75" x14ac:dyDescent="0.2"/>
  <cols>
    <col min="1" max="1" width="5.28515625" style="203" customWidth="1"/>
    <col min="2" max="2" width="8.5703125" style="203" customWidth="1"/>
    <col min="3" max="3" width="32.140625" style="203" customWidth="1"/>
    <col min="4" max="4" width="15.140625" style="203" customWidth="1"/>
    <col min="5" max="6" width="11.7109375" style="203" customWidth="1"/>
    <col min="7" max="7" width="13.7109375" style="203" customWidth="1"/>
    <col min="8" max="8" width="20.140625" style="203" customWidth="1"/>
    <col min="9" max="16384" width="9.140625" style="203"/>
  </cols>
  <sheetData>
    <row r="1" spans="1:8" x14ac:dyDescent="0.2">
      <c r="A1" s="203" t="s">
        <v>11</v>
      </c>
      <c r="H1" s="216" t="s">
        <v>546</v>
      </c>
    </row>
    <row r="2" spans="1:8" s="206" customFormat="1" ht="15.75" x14ac:dyDescent="0.25">
      <c r="A2" s="945" t="s">
        <v>0</v>
      </c>
      <c r="B2" s="945"/>
      <c r="C2" s="945"/>
      <c r="D2" s="945"/>
      <c r="E2" s="945"/>
      <c r="F2" s="945"/>
      <c r="G2" s="945"/>
      <c r="H2" s="945"/>
    </row>
    <row r="3" spans="1:8" s="206" customFormat="1" ht="20.25" customHeight="1" x14ac:dyDescent="0.3">
      <c r="A3" s="946" t="s">
        <v>738</v>
      </c>
      <c r="B3" s="946"/>
      <c r="C3" s="946"/>
      <c r="D3" s="946"/>
      <c r="E3" s="946"/>
      <c r="F3" s="946"/>
      <c r="G3" s="946"/>
      <c r="H3" s="946"/>
    </row>
    <row r="5" spans="1:8" s="206" customFormat="1" ht="15.75" x14ac:dyDescent="0.25">
      <c r="A5" s="993" t="s">
        <v>545</v>
      </c>
      <c r="B5" s="993"/>
      <c r="C5" s="993"/>
      <c r="D5" s="993"/>
      <c r="E5" s="993"/>
      <c r="F5" s="993"/>
      <c r="G5" s="993"/>
      <c r="H5" s="994"/>
    </row>
    <row r="7" spans="1:8" ht="15" x14ac:dyDescent="0.3">
      <c r="A7" s="197" t="s">
        <v>917</v>
      </c>
      <c r="B7" s="197" t="s">
        <v>916</v>
      </c>
      <c r="C7" s="208"/>
      <c r="D7" s="209"/>
      <c r="E7" s="209"/>
      <c r="F7" s="209"/>
      <c r="G7" s="209"/>
    </row>
    <row r="9" spans="1:8" ht="13.9" customHeight="1" x14ac:dyDescent="0.25">
      <c r="A9" s="217"/>
      <c r="B9" s="217"/>
      <c r="C9" s="217"/>
      <c r="D9" s="217"/>
      <c r="E9" s="217"/>
      <c r="F9" s="217"/>
      <c r="G9" s="217"/>
    </row>
    <row r="10" spans="1:8" s="210" customFormat="1" x14ac:dyDescent="0.2">
      <c r="A10" s="203"/>
      <c r="B10" s="203"/>
      <c r="C10" s="203"/>
      <c r="D10" s="203"/>
      <c r="E10" s="203"/>
      <c r="F10" s="939" t="s">
        <v>1186</v>
      </c>
      <c r="G10" s="939"/>
      <c r="H10" s="939"/>
    </row>
    <row r="11" spans="1:8" s="210" customFormat="1" ht="39.75" customHeight="1" x14ac:dyDescent="0.2">
      <c r="A11" s="211"/>
      <c r="B11" s="995" t="s">
        <v>277</v>
      </c>
      <c r="C11" s="995" t="s">
        <v>278</v>
      </c>
      <c r="D11" s="997" t="s">
        <v>279</v>
      </c>
      <c r="E11" s="998"/>
      <c r="F11" s="998"/>
      <c r="G11" s="999"/>
      <c r="H11" s="995" t="s">
        <v>76</v>
      </c>
    </row>
    <row r="12" spans="1:8" s="210" customFormat="1" ht="25.5" x14ac:dyDescent="0.25">
      <c r="A12" s="212"/>
      <c r="B12" s="996"/>
      <c r="C12" s="996"/>
      <c r="D12" s="218" t="s">
        <v>280</v>
      </c>
      <c r="E12" s="218" t="s">
        <v>281</v>
      </c>
      <c r="F12" s="218" t="s">
        <v>282</v>
      </c>
      <c r="G12" s="218" t="s">
        <v>18</v>
      </c>
      <c r="H12" s="996"/>
    </row>
    <row r="13" spans="1:8" s="210" customFormat="1" ht="15" x14ac:dyDescent="0.25">
      <c r="A13" s="212"/>
      <c r="B13" s="219" t="s">
        <v>257</v>
      </c>
      <c r="C13" s="219" t="s">
        <v>258</v>
      </c>
      <c r="D13" s="219" t="s">
        <v>259</v>
      </c>
      <c r="E13" s="219" t="s">
        <v>260</v>
      </c>
      <c r="F13" s="219" t="s">
        <v>261</v>
      </c>
      <c r="G13" s="219" t="s">
        <v>262</v>
      </c>
      <c r="H13" s="219" t="s">
        <v>263</v>
      </c>
    </row>
    <row r="14" spans="1:8" s="401" customFormat="1" ht="15" customHeight="1" x14ac:dyDescent="0.2">
      <c r="A14" s="222"/>
      <c r="B14" s="220" t="s">
        <v>27</v>
      </c>
      <c r="C14" s="1000" t="s">
        <v>286</v>
      </c>
      <c r="D14" s="1001"/>
      <c r="E14" s="1001"/>
      <c r="F14" s="1001"/>
      <c r="G14" s="1001"/>
      <c r="H14" s="1002"/>
    </row>
    <row r="15" spans="1:8" s="401" customFormat="1" ht="14.25" x14ac:dyDescent="0.2">
      <c r="A15" s="222"/>
      <c r="B15" s="221"/>
      <c r="C15" s="402" t="s">
        <v>928</v>
      </c>
      <c r="D15" s="403">
        <v>1</v>
      </c>
      <c r="E15" s="403" t="s">
        <v>7</v>
      </c>
      <c r="F15" s="403" t="s">
        <v>7</v>
      </c>
      <c r="G15" s="404">
        <f>SUM(D15:F15)</f>
        <v>1</v>
      </c>
      <c r="H15" s="221"/>
    </row>
    <row r="16" spans="1:8" s="407" customFormat="1" ht="14.25" x14ac:dyDescent="0.2">
      <c r="A16" s="405"/>
      <c r="B16" s="138"/>
      <c r="C16" s="406" t="s">
        <v>929</v>
      </c>
      <c r="D16" s="403">
        <v>1</v>
      </c>
      <c r="E16" s="403" t="s">
        <v>7</v>
      </c>
      <c r="F16" s="403" t="s">
        <v>7</v>
      </c>
      <c r="G16" s="404">
        <f t="shared" ref="G16:G26" si="0">SUM(D16:F16)</f>
        <v>1</v>
      </c>
      <c r="H16" s="138"/>
    </row>
    <row r="17" spans="1:8" s="407" customFormat="1" ht="14.25" x14ac:dyDescent="0.2">
      <c r="A17" s="405"/>
      <c r="B17" s="138"/>
      <c r="C17" s="406" t="s">
        <v>930</v>
      </c>
      <c r="D17" s="403">
        <v>1</v>
      </c>
      <c r="E17" s="403">
        <v>27</v>
      </c>
      <c r="F17" s="403" t="s">
        <v>7</v>
      </c>
      <c r="G17" s="404">
        <f t="shared" si="0"/>
        <v>28</v>
      </c>
      <c r="H17" s="138"/>
    </row>
    <row r="18" spans="1:8" s="408" customFormat="1" ht="14.25" x14ac:dyDescent="0.2">
      <c r="A18" s="405"/>
      <c r="B18" s="138"/>
      <c r="C18" s="406" t="s">
        <v>931</v>
      </c>
      <c r="D18" s="403">
        <v>2</v>
      </c>
      <c r="E18" s="403">
        <v>27</v>
      </c>
      <c r="F18" s="403">
        <v>146</v>
      </c>
      <c r="G18" s="404">
        <f t="shared" si="0"/>
        <v>175</v>
      </c>
      <c r="H18" s="138"/>
    </row>
    <row r="19" spans="1:8" s="408" customFormat="1" ht="14.25" x14ac:dyDescent="0.2">
      <c r="A19" s="405"/>
      <c r="B19" s="138"/>
      <c r="C19" s="406" t="s">
        <v>932</v>
      </c>
      <c r="D19" s="403">
        <v>1</v>
      </c>
      <c r="E19" s="403">
        <v>27</v>
      </c>
      <c r="F19" s="403">
        <v>146</v>
      </c>
      <c r="G19" s="404">
        <f t="shared" si="0"/>
        <v>174</v>
      </c>
      <c r="H19" s="138"/>
    </row>
    <row r="20" spans="1:8" s="408" customFormat="1" ht="14.25" x14ac:dyDescent="0.2">
      <c r="A20" s="405"/>
      <c r="B20" s="138"/>
      <c r="C20" s="406" t="s">
        <v>933</v>
      </c>
      <c r="D20" s="403">
        <v>1</v>
      </c>
      <c r="E20" s="403">
        <v>27</v>
      </c>
      <c r="F20" s="403">
        <v>146</v>
      </c>
      <c r="G20" s="404">
        <f t="shared" si="0"/>
        <v>174</v>
      </c>
      <c r="H20" s="138"/>
    </row>
    <row r="21" spans="1:8" s="408" customFormat="1" ht="21.75" customHeight="1" x14ac:dyDescent="0.2">
      <c r="A21" s="132"/>
      <c r="B21" s="220" t="s">
        <v>31</v>
      </c>
      <c r="C21" s="402" t="s">
        <v>934</v>
      </c>
      <c r="D21" s="409"/>
      <c r="E21" s="409"/>
      <c r="F21" s="409"/>
      <c r="G21" s="410"/>
      <c r="H21" s="411"/>
    </row>
    <row r="22" spans="1:8" s="408" customFormat="1" ht="14.25" x14ac:dyDescent="0.2">
      <c r="A22" s="215" t="s">
        <v>276</v>
      </c>
      <c r="B22" s="214"/>
      <c r="C22" s="402" t="s">
        <v>935</v>
      </c>
      <c r="D22" s="409">
        <v>2</v>
      </c>
      <c r="E22" s="409" t="s">
        <v>7</v>
      </c>
      <c r="F22" s="409"/>
      <c r="G22" s="404">
        <f t="shared" si="0"/>
        <v>2</v>
      </c>
      <c r="H22" s="135"/>
    </row>
    <row r="23" spans="1:8" s="407" customFormat="1" ht="14.25" x14ac:dyDescent="0.2">
      <c r="A23" s="203"/>
      <c r="B23" s="138"/>
      <c r="C23" s="406" t="s">
        <v>936</v>
      </c>
      <c r="D23" s="403" t="s">
        <v>7</v>
      </c>
      <c r="E23" s="403" t="s">
        <v>7</v>
      </c>
      <c r="F23" s="403"/>
      <c r="G23" s="404">
        <f t="shared" si="0"/>
        <v>0</v>
      </c>
      <c r="H23" s="138"/>
    </row>
    <row r="24" spans="1:8" s="407" customFormat="1" ht="14.25" x14ac:dyDescent="0.2">
      <c r="A24" s="203"/>
      <c r="B24" s="138"/>
      <c r="C24" s="406" t="s">
        <v>937</v>
      </c>
      <c r="D24" s="403" t="s">
        <v>7</v>
      </c>
      <c r="E24" s="403" t="s">
        <v>7</v>
      </c>
      <c r="F24" s="403"/>
      <c r="G24" s="404">
        <f t="shared" si="0"/>
        <v>0</v>
      </c>
      <c r="H24" s="138"/>
    </row>
    <row r="25" spans="1:8" s="407" customFormat="1" ht="14.25" x14ac:dyDescent="0.2">
      <c r="A25" s="203"/>
      <c r="B25" s="138"/>
      <c r="C25" s="406" t="s">
        <v>938</v>
      </c>
      <c r="D25" s="403">
        <v>3</v>
      </c>
      <c r="E25" s="403">
        <v>54</v>
      </c>
      <c r="F25" s="403">
        <v>292</v>
      </c>
      <c r="G25" s="404">
        <f t="shared" si="0"/>
        <v>349</v>
      </c>
      <c r="H25" s="138"/>
    </row>
    <row r="26" spans="1:8" s="407" customFormat="1" ht="14.25" x14ac:dyDescent="0.2">
      <c r="A26" s="203"/>
      <c r="B26" s="138"/>
      <c r="C26" s="406" t="s">
        <v>939</v>
      </c>
      <c r="D26" s="403">
        <v>3</v>
      </c>
      <c r="E26" s="403">
        <v>27</v>
      </c>
      <c r="F26" s="403">
        <v>146</v>
      </c>
      <c r="G26" s="404">
        <f t="shared" si="0"/>
        <v>176</v>
      </c>
      <c r="H26" s="138"/>
    </row>
    <row r="27" spans="1:8" s="407" customFormat="1" x14ac:dyDescent="0.2">
      <c r="A27" s="203"/>
      <c r="B27" s="138"/>
      <c r="C27" s="138" t="s">
        <v>940</v>
      </c>
      <c r="D27" s="138"/>
      <c r="E27" s="138"/>
      <c r="F27" s="138"/>
      <c r="G27" s="138"/>
      <c r="H27" s="138"/>
    </row>
    <row r="28" spans="1:8" s="407" customFormat="1" ht="45.75" customHeight="1" x14ac:dyDescent="0.2">
      <c r="A28" s="203"/>
      <c r="B28" s="203"/>
      <c r="C28" s="203"/>
      <c r="D28" s="203"/>
      <c r="E28" s="203"/>
      <c r="F28" s="203"/>
      <c r="G28" s="203"/>
      <c r="H28" s="203"/>
    </row>
    <row r="29" spans="1:8" s="407" customFormat="1" ht="12.75" customHeight="1" x14ac:dyDescent="0.2">
      <c r="A29" s="203"/>
      <c r="B29" s="203"/>
      <c r="C29" s="203"/>
      <c r="D29" s="203"/>
      <c r="E29" s="203"/>
      <c r="F29" s="636"/>
      <c r="G29" s="636"/>
      <c r="H29" s="636"/>
    </row>
    <row r="30" spans="1:8" s="407" customFormat="1" ht="12.75" customHeight="1" x14ac:dyDescent="0.2">
      <c r="A30" s="203"/>
      <c r="B30" s="203"/>
      <c r="C30" s="203"/>
      <c r="D30" s="810" t="s">
        <v>13</v>
      </c>
      <c r="E30" s="810"/>
      <c r="F30" s="810"/>
      <c r="G30" s="810"/>
      <c r="H30" s="810"/>
    </row>
    <row r="31" spans="1:8" s="407" customFormat="1" ht="12.75" customHeight="1" x14ac:dyDescent="0.2">
      <c r="A31" s="203"/>
      <c r="B31" s="203"/>
      <c r="C31" s="203"/>
      <c r="D31" s="810" t="s">
        <v>14</v>
      </c>
      <c r="E31" s="810"/>
      <c r="F31" s="810"/>
      <c r="G31" s="810"/>
      <c r="H31" s="810"/>
    </row>
    <row r="32" spans="1:8" s="407" customFormat="1" x14ac:dyDescent="0.2">
      <c r="A32" s="203"/>
      <c r="B32" s="203"/>
      <c r="C32" s="203"/>
      <c r="D32" s="810" t="s">
        <v>918</v>
      </c>
      <c r="E32" s="810"/>
      <c r="F32" s="810"/>
      <c r="G32" s="810"/>
      <c r="H32" s="810"/>
    </row>
    <row r="33" spans="1:8" ht="15" x14ac:dyDescent="0.25">
      <c r="A33" s="492" t="s">
        <v>12</v>
      </c>
      <c r="D33" s="657"/>
      <c r="E33" s="207" t="s">
        <v>82</v>
      </c>
      <c r="F33" s="207"/>
      <c r="G33" s="207"/>
      <c r="H33" s="207"/>
    </row>
  </sheetData>
  <mergeCells count="12">
    <mergeCell ref="D30:H30"/>
    <mergeCell ref="D31:H31"/>
    <mergeCell ref="D32:H32"/>
    <mergeCell ref="C14:H14"/>
    <mergeCell ref="H11:H12"/>
    <mergeCell ref="A2:H2"/>
    <mergeCell ref="A3:H3"/>
    <mergeCell ref="A5:H5"/>
    <mergeCell ref="B11:B12"/>
    <mergeCell ref="C11:C12"/>
    <mergeCell ref="D11:G11"/>
    <mergeCell ref="F10:H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M44"/>
  <sheetViews>
    <sheetView topLeftCell="A16" zoomScaleSheetLayoutView="100" workbookViewId="0">
      <selection activeCell="K13" sqref="K13"/>
    </sheetView>
  </sheetViews>
  <sheetFormatPr defaultRowHeight="12.75" x14ac:dyDescent="0.2"/>
  <cols>
    <col min="1" max="1" width="8.28515625" customWidth="1"/>
    <col min="2" max="2" width="17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 x14ac:dyDescent="0.35">
      <c r="A1" s="922" t="s">
        <v>0</v>
      </c>
      <c r="B1" s="922"/>
      <c r="C1" s="922"/>
      <c r="D1" s="922"/>
      <c r="E1" s="922"/>
      <c r="F1" s="922"/>
      <c r="H1" s="194" t="s">
        <v>637</v>
      </c>
    </row>
    <row r="2" spans="1:8" ht="21" x14ac:dyDescent="0.35">
      <c r="A2" s="923" t="s">
        <v>738</v>
      </c>
      <c r="B2" s="923"/>
      <c r="C2" s="923"/>
      <c r="D2" s="923"/>
      <c r="E2" s="923"/>
      <c r="F2" s="923"/>
      <c r="G2" s="923"/>
    </row>
    <row r="3" spans="1:8" ht="15" x14ac:dyDescent="0.3">
      <c r="A3" s="196"/>
      <c r="B3" s="196"/>
    </row>
    <row r="4" spans="1:8" ht="18" customHeight="1" x14ac:dyDescent="0.35">
      <c r="A4" s="924" t="s">
        <v>638</v>
      </c>
      <c r="B4" s="924"/>
      <c r="C4" s="924"/>
      <c r="D4" s="924"/>
      <c r="E4" s="924"/>
      <c r="F4" s="924"/>
      <c r="G4" s="924"/>
    </row>
    <row r="5" spans="1:8" ht="15" x14ac:dyDescent="0.3">
      <c r="A5" s="197" t="s">
        <v>917</v>
      </c>
      <c r="B5" s="197" t="s">
        <v>916</v>
      </c>
    </row>
    <row r="6" spans="1:8" ht="15" x14ac:dyDescent="0.3">
      <c r="A6" s="197"/>
      <c r="B6" s="197"/>
      <c r="F6" s="925" t="s">
        <v>1186</v>
      </c>
      <c r="G6" s="925"/>
      <c r="H6" s="925"/>
    </row>
    <row r="7" spans="1:8" ht="59.25" customHeight="1" x14ac:dyDescent="0.2">
      <c r="A7" s="198" t="s">
        <v>2</v>
      </c>
      <c r="B7" s="287" t="s">
        <v>3</v>
      </c>
      <c r="C7" s="289" t="s">
        <v>639</v>
      </c>
      <c r="D7" s="289" t="s">
        <v>640</v>
      </c>
      <c r="E7" s="289" t="s">
        <v>641</v>
      </c>
      <c r="F7" s="289" t="s">
        <v>642</v>
      </c>
      <c r="G7" s="310" t="s">
        <v>740</v>
      </c>
      <c r="H7" s="276" t="s">
        <v>713</v>
      </c>
    </row>
    <row r="8" spans="1:8" s="194" customFormat="1" ht="15" x14ac:dyDescent="0.25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311" t="s">
        <v>263</v>
      </c>
      <c r="H8" s="229">
        <v>8</v>
      </c>
    </row>
    <row r="9" spans="1:8" s="194" customFormat="1" ht="15.75" x14ac:dyDescent="0.25">
      <c r="A9" s="8">
        <v>1</v>
      </c>
      <c r="B9" s="349" t="s">
        <v>890</v>
      </c>
      <c r="C9" s="370">
        <v>1239</v>
      </c>
      <c r="D9" s="371">
        <v>1170</v>
      </c>
      <c r="E9" s="371">
        <v>1115</v>
      </c>
      <c r="F9" s="423">
        <v>0</v>
      </c>
      <c r="G9" s="428">
        <f>D9-E9</f>
        <v>55</v>
      </c>
      <c r="H9" s="349" t="s">
        <v>890</v>
      </c>
    </row>
    <row r="10" spans="1:8" s="194" customFormat="1" ht="15.75" x14ac:dyDescent="0.25">
      <c r="A10" s="8">
        <v>2</v>
      </c>
      <c r="B10" s="349" t="s">
        <v>891</v>
      </c>
      <c r="C10" s="370">
        <v>1830</v>
      </c>
      <c r="D10" s="371">
        <v>1742</v>
      </c>
      <c r="E10" s="371">
        <v>1569</v>
      </c>
      <c r="F10" s="423">
        <v>0</v>
      </c>
      <c r="G10" s="428">
        <f t="shared" ref="G10:G35" si="0">D10-E10</f>
        <v>173</v>
      </c>
      <c r="H10" s="349" t="s">
        <v>891</v>
      </c>
    </row>
    <row r="11" spans="1:8" s="194" customFormat="1" ht="15.75" x14ac:dyDescent="0.25">
      <c r="A11" s="8">
        <v>3</v>
      </c>
      <c r="B11" s="349" t="s">
        <v>892</v>
      </c>
      <c r="C11" s="370">
        <v>1964</v>
      </c>
      <c r="D11" s="371">
        <v>1456</v>
      </c>
      <c r="E11" s="371">
        <v>499</v>
      </c>
      <c r="F11" s="423">
        <v>0</v>
      </c>
      <c r="G11" s="428">
        <f t="shared" si="0"/>
        <v>957</v>
      </c>
      <c r="H11" s="349" t="s">
        <v>892</v>
      </c>
    </row>
    <row r="12" spans="1:8" s="194" customFormat="1" ht="15.75" x14ac:dyDescent="0.25">
      <c r="A12" s="8">
        <v>4</v>
      </c>
      <c r="B12" s="349" t="s">
        <v>893</v>
      </c>
      <c r="C12" s="370">
        <v>2194</v>
      </c>
      <c r="D12" s="371">
        <v>1875</v>
      </c>
      <c r="E12" s="371">
        <v>845</v>
      </c>
      <c r="F12" s="423">
        <v>0</v>
      </c>
      <c r="G12" s="428">
        <f t="shared" si="0"/>
        <v>1030</v>
      </c>
      <c r="H12" s="349" t="s">
        <v>893</v>
      </c>
    </row>
    <row r="13" spans="1:8" s="194" customFormat="1" ht="15.75" x14ac:dyDescent="0.25">
      <c r="A13" s="8">
        <v>5</v>
      </c>
      <c r="B13" s="349" t="s">
        <v>894</v>
      </c>
      <c r="C13" s="370">
        <v>1131</v>
      </c>
      <c r="D13" s="371">
        <v>986</v>
      </c>
      <c r="E13" s="371">
        <v>856</v>
      </c>
      <c r="F13" s="423">
        <v>0</v>
      </c>
      <c r="G13" s="428">
        <f t="shared" si="0"/>
        <v>130</v>
      </c>
      <c r="H13" s="349" t="s">
        <v>894</v>
      </c>
    </row>
    <row r="14" spans="1:8" s="194" customFormat="1" ht="15.75" x14ac:dyDescent="0.25">
      <c r="A14" s="8">
        <v>6</v>
      </c>
      <c r="B14" s="349" t="s">
        <v>895</v>
      </c>
      <c r="C14" s="370">
        <v>897</v>
      </c>
      <c r="D14" s="371">
        <v>745</v>
      </c>
      <c r="E14" s="371">
        <v>424</v>
      </c>
      <c r="F14" s="423">
        <v>0</v>
      </c>
      <c r="G14" s="428">
        <f t="shared" si="0"/>
        <v>321</v>
      </c>
      <c r="H14" s="349" t="s">
        <v>895</v>
      </c>
    </row>
    <row r="15" spans="1:8" s="194" customFormat="1" ht="15.75" x14ac:dyDescent="0.25">
      <c r="A15" s="8">
        <v>7</v>
      </c>
      <c r="B15" s="349" t="s">
        <v>896</v>
      </c>
      <c r="C15" s="370">
        <v>2496</v>
      </c>
      <c r="D15" s="371">
        <v>2130</v>
      </c>
      <c r="E15" s="371">
        <v>1269</v>
      </c>
      <c r="F15" s="423">
        <v>0</v>
      </c>
      <c r="G15" s="428">
        <f t="shared" si="0"/>
        <v>861</v>
      </c>
      <c r="H15" s="349" t="s">
        <v>896</v>
      </c>
    </row>
    <row r="16" spans="1:8" s="194" customFormat="1" ht="15.75" x14ac:dyDescent="0.25">
      <c r="A16" s="8">
        <v>8</v>
      </c>
      <c r="B16" s="349" t="s">
        <v>897</v>
      </c>
      <c r="C16" s="370">
        <v>884</v>
      </c>
      <c r="D16" s="371">
        <v>705</v>
      </c>
      <c r="E16" s="371">
        <v>612</v>
      </c>
      <c r="F16" s="423">
        <v>0</v>
      </c>
      <c r="G16" s="428">
        <f t="shared" si="0"/>
        <v>93</v>
      </c>
      <c r="H16" s="349" t="s">
        <v>897</v>
      </c>
    </row>
    <row r="17" spans="1:10" s="194" customFormat="1" ht="15.75" x14ac:dyDescent="0.25">
      <c r="A17" s="8">
        <v>9</v>
      </c>
      <c r="B17" s="349" t="s">
        <v>898</v>
      </c>
      <c r="C17" s="370">
        <v>1336</v>
      </c>
      <c r="D17" s="371">
        <v>1156</v>
      </c>
      <c r="E17" s="371">
        <v>934</v>
      </c>
      <c r="F17" s="423">
        <v>0</v>
      </c>
      <c r="G17" s="428">
        <f t="shared" si="0"/>
        <v>222</v>
      </c>
      <c r="H17" s="349" t="s">
        <v>898</v>
      </c>
    </row>
    <row r="18" spans="1:10" s="194" customFormat="1" ht="15.75" x14ac:dyDescent="0.25">
      <c r="A18" s="8">
        <v>10</v>
      </c>
      <c r="B18" s="349" t="s">
        <v>899</v>
      </c>
      <c r="C18" s="370">
        <v>973</v>
      </c>
      <c r="D18" s="371">
        <v>951</v>
      </c>
      <c r="E18" s="371">
        <v>928</v>
      </c>
      <c r="F18" s="423">
        <v>0</v>
      </c>
      <c r="G18" s="428">
        <f t="shared" si="0"/>
        <v>23</v>
      </c>
      <c r="H18" s="349" t="s">
        <v>899</v>
      </c>
    </row>
    <row r="19" spans="1:10" s="194" customFormat="1" ht="15.75" x14ac:dyDescent="0.25">
      <c r="A19" s="8">
        <v>11</v>
      </c>
      <c r="B19" s="349" t="s">
        <v>900</v>
      </c>
      <c r="C19" s="370">
        <v>1432</v>
      </c>
      <c r="D19" s="371">
        <v>1325</v>
      </c>
      <c r="E19" s="371">
        <v>736</v>
      </c>
      <c r="F19" s="423">
        <v>0</v>
      </c>
      <c r="G19" s="428">
        <f t="shared" si="0"/>
        <v>589</v>
      </c>
      <c r="H19" s="349" t="s">
        <v>900</v>
      </c>
    </row>
    <row r="20" spans="1:10" s="194" customFormat="1" ht="15.75" x14ac:dyDescent="0.25">
      <c r="A20" s="8">
        <v>12</v>
      </c>
      <c r="B20" s="349" t="s">
        <v>901</v>
      </c>
      <c r="C20" s="370">
        <v>2344</v>
      </c>
      <c r="D20" s="371">
        <v>1727</v>
      </c>
      <c r="E20" s="371">
        <v>1727</v>
      </c>
      <c r="F20" s="423">
        <v>0</v>
      </c>
      <c r="G20" s="428">
        <f t="shared" si="0"/>
        <v>0</v>
      </c>
      <c r="H20" s="349" t="s">
        <v>901</v>
      </c>
    </row>
    <row r="21" spans="1:10" s="194" customFormat="1" ht="15.75" x14ac:dyDescent="0.25">
      <c r="A21" s="8">
        <v>13</v>
      </c>
      <c r="B21" s="349" t="s">
        <v>902</v>
      </c>
      <c r="C21" s="370">
        <v>2268</v>
      </c>
      <c r="D21" s="371">
        <v>1869</v>
      </c>
      <c r="E21" s="371">
        <v>1008</v>
      </c>
      <c r="F21" s="423">
        <v>0</v>
      </c>
      <c r="G21" s="428">
        <f t="shared" si="0"/>
        <v>861</v>
      </c>
      <c r="H21" s="349" t="s">
        <v>902</v>
      </c>
    </row>
    <row r="22" spans="1:10" s="194" customFormat="1" ht="15.75" x14ac:dyDescent="0.25">
      <c r="A22" s="8">
        <v>14</v>
      </c>
      <c r="B22" s="349" t="s">
        <v>903</v>
      </c>
      <c r="C22" s="370">
        <v>2212</v>
      </c>
      <c r="D22" s="371">
        <v>1988</v>
      </c>
      <c r="E22" s="371">
        <v>1276</v>
      </c>
      <c r="F22" s="423">
        <v>0</v>
      </c>
      <c r="G22" s="428">
        <f t="shared" si="0"/>
        <v>712</v>
      </c>
      <c r="H22" s="349" t="s">
        <v>903</v>
      </c>
    </row>
    <row r="23" spans="1:10" s="194" customFormat="1" ht="15.75" x14ac:dyDescent="0.25">
      <c r="A23" s="8">
        <v>15</v>
      </c>
      <c r="B23" s="349" t="s">
        <v>904</v>
      </c>
      <c r="C23" s="370">
        <v>1482</v>
      </c>
      <c r="D23" s="371">
        <v>1352</v>
      </c>
      <c r="E23" s="371">
        <v>871</v>
      </c>
      <c r="F23" s="423">
        <v>0</v>
      </c>
      <c r="G23" s="428">
        <f t="shared" si="0"/>
        <v>481</v>
      </c>
      <c r="H23" s="349" t="s">
        <v>904</v>
      </c>
    </row>
    <row r="24" spans="1:10" s="194" customFormat="1" ht="15.75" x14ac:dyDescent="0.25">
      <c r="A24" s="8">
        <v>16</v>
      </c>
      <c r="B24" s="349" t="s">
        <v>905</v>
      </c>
      <c r="C24" s="370">
        <v>1833</v>
      </c>
      <c r="D24" s="371">
        <v>1569</v>
      </c>
      <c r="E24" s="371">
        <v>602</v>
      </c>
      <c r="F24" s="423">
        <v>0</v>
      </c>
      <c r="G24" s="428">
        <f t="shared" si="0"/>
        <v>967</v>
      </c>
      <c r="H24" s="349" t="s">
        <v>905</v>
      </c>
    </row>
    <row r="25" spans="1:10" s="194" customFormat="1" ht="15.75" x14ac:dyDescent="0.25">
      <c r="A25" s="8">
        <v>17</v>
      </c>
      <c r="B25" s="349" t="s">
        <v>906</v>
      </c>
      <c r="C25" s="370">
        <v>2019</v>
      </c>
      <c r="D25" s="371">
        <v>1855</v>
      </c>
      <c r="E25" s="371">
        <v>1074</v>
      </c>
      <c r="F25" s="423">
        <v>0</v>
      </c>
      <c r="G25" s="428">
        <f t="shared" si="0"/>
        <v>781</v>
      </c>
      <c r="H25" s="349" t="s">
        <v>906</v>
      </c>
    </row>
    <row r="26" spans="1:10" s="194" customFormat="1" ht="15.75" x14ac:dyDescent="0.25">
      <c r="A26" s="8">
        <v>18</v>
      </c>
      <c r="B26" s="349" t="s">
        <v>907</v>
      </c>
      <c r="C26" s="370">
        <v>1386</v>
      </c>
      <c r="D26" s="371">
        <v>1146</v>
      </c>
      <c r="E26" s="371">
        <v>626</v>
      </c>
      <c r="F26" s="423">
        <v>0</v>
      </c>
      <c r="G26" s="428">
        <f t="shared" si="0"/>
        <v>520</v>
      </c>
      <c r="H26" s="349" t="s">
        <v>907</v>
      </c>
    </row>
    <row r="27" spans="1:10" s="194" customFormat="1" ht="15.75" x14ac:dyDescent="0.25">
      <c r="A27" s="8">
        <v>19</v>
      </c>
      <c r="B27" s="349" t="s">
        <v>908</v>
      </c>
      <c r="C27" s="370">
        <v>1809</v>
      </c>
      <c r="D27" s="371">
        <v>1687</v>
      </c>
      <c r="E27" s="371">
        <v>1567</v>
      </c>
      <c r="F27" s="423">
        <v>0</v>
      </c>
      <c r="G27" s="428">
        <f t="shared" si="0"/>
        <v>120</v>
      </c>
      <c r="H27" s="349" t="s">
        <v>908</v>
      </c>
    </row>
    <row r="28" spans="1:10" ht="15.75" x14ac:dyDescent="0.25">
      <c r="A28" s="8">
        <v>20</v>
      </c>
      <c r="B28" s="349" t="s">
        <v>909</v>
      </c>
      <c r="C28" s="412">
        <v>941</v>
      </c>
      <c r="D28" s="427">
        <v>766</v>
      </c>
      <c r="E28" s="427">
        <v>448</v>
      </c>
      <c r="F28" s="423">
        <v>0</v>
      </c>
      <c r="G28" s="428">
        <f t="shared" si="0"/>
        <v>318</v>
      </c>
      <c r="H28" s="349" t="s">
        <v>909</v>
      </c>
      <c r="J28" s="194"/>
    </row>
    <row r="29" spans="1:10" ht="15.75" x14ac:dyDescent="0.25">
      <c r="A29" s="8">
        <v>21</v>
      </c>
      <c r="B29" s="349" t="s">
        <v>910</v>
      </c>
      <c r="C29" s="412">
        <v>568</v>
      </c>
      <c r="D29" s="427">
        <v>412</v>
      </c>
      <c r="E29" s="427">
        <v>194</v>
      </c>
      <c r="F29" s="423">
        <v>0</v>
      </c>
      <c r="G29" s="428">
        <f t="shared" si="0"/>
        <v>218</v>
      </c>
      <c r="H29" s="349" t="s">
        <v>910</v>
      </c>
      <c r="J29" s="194"/>
    </row>
    <row r="30" spans="1:10" ht="15.75" x14ac:dyDescent="0.25">
      <c r="A30" s="8">
        <v>22</v>
      </c>
      <c r="B30" s="349" t="s">
        <v>911</v>
      </c>
      <c r="C30" s="412">
        <v>2905</v>
      </c>
      <c r="D30" s="427">
        <v>2564</v>
      </c>
      <c r="E30" s="427">
        <v>1720</v>
      </c>
      <c r="F30" s="423">
        <v>0</v>
      </c>
      <c r="G30" s="428">
        <f t="shared" si="0"/>
        <v>844</v>
      </c>
      <c r="H30" s="349" t="s">
        <v>911</v>
      </c>
      <c r="J30" s="194"/>
    </row>
    <row r="31" spans="1:10" ht="15.75" x14ac:dyDescent="0.25">
      <c r="A31" s="8">
        <v>23</v>
      </c>
      <c r="B31" s="349" t="s">
        <v>912</v>
      </c>
      <c r="C31" s="412">
        <v>1279</v>
      </c>
      <c r="D31" s="427">
        <v>1294</v>
      </c>
      <c r="E31" s="427">
        <v>1211</v>
      </c>
      <c r="F31" s="423">
        <v>0</v>
      </c>
      <c r="G31" s="428">
        <f t="shared" si="0"/>
        <v>83</v>
      </c>
      <c r="H31" s="349" t="s">
        <v>912</v>
      </c>
      <c r="J31" s="194"/>
    </row>
    <row r="32" spans="1:10" ht="15.75" x14ac:dyDescent="0.25">
      <c r="A32" s="8">
        <v>24</v>
      </c>
      <c r="B32" s="349" t="s">
        <v>913</v>
      </c>
      <c r="C32" s="412">
        <v>2655</v>
      </c>
      <c r="D32" s="427">
        <v>2413</v>
      </c>
      <c r="E32" s="427">
        <v>1704</v>
      </c>
      <c r="F32" s="423">
        <v>0</v>
      </c>
      <c r="G32" s="428">
        <f t="shared" si="0"/>
        <v>709</v>
      </c>
      <c r="H32" s="349" t="s">
        <v>913</v>
      </c>
      <c r="J32" s="194"/>
    </row>
    <row r="33" spans="1:13" ht="15.75" x14ac:dyDescent="0.25">
      <c r="A33" s="8">
        <v>25</v>
      </c>
      <c r="B33" s="349" t="s">
        <v>919</v>
      </c>
      <c r="C33" s="412">
        <v>1929</v>
      </c>
      <c r="D33" s="427">
        <v>1634</v>
      </c>
      <c r="E33" s="427">
        <v>818</v>
      </c>
      <c r="F33" s="423">
        <v>0</v>
      </c>
      <c r="G33" s="428">
        <f t="shared" si="0"/>
        <v>816</v>
      </c>
      <c r="H33" s="349" t="s">
        <v>919</v>
      </c>
      <c r="J33" s="194"/>
    </row>
    <row r="34" spans="1:13" ht="15.75" x14ac:dyDescent="0.25">
      <c r="A34" s="8">
        <v>26</v>
      </c>
      <c r="B34" s="349" t="s">
        <v>914</v>
      </c>
      <c r="C34" s="412">
        <v>1004</v>
      </c>
      <c r="D34" s="427">
        <v>847</v>
      </c>
      <c r="E34" s="427">
        <v>606</v>
      </c>
      <c r="F34" s="423">
        <v>0</v>
      </c>
      <c r="G34" s="428">
        <f t="shared" si="0"/>
        <v>241</v>
      </c>
      <c r="H34" s="349" t="s">
        <v>914</v>
      </c>
      <c r="J34" s="194"/>
    </row>
    <row r="35" spans="1:13" ht="15.75" x14ac:dyDescent="0.25">
      <c r="A35" s="8">
        <v>27</v>
      </c>
      <c r="B35" s="349" t="s">
        <v>915</v>
      </c>
      <c r="C35" s="412">
        <v>1976</v>
      </c>
      <c r="D35" s="427">
        <v>1477</v>
      </c>
      <c r="E35" s="427">
        <v>676</v>
      </c>
      <c r="F35" s="423">
        <v>0</v>
      </c>
      <c r="G35" s="428">
        <f t="shared" si="0"/>
        <v>801</v>
      </c>
      <c r="H35" s="349" t="s">
        <v>915</v>
      </c>
      <c r="J35" s="194"/>
    </row>
    <row r="36" spans="1:13" x14ac:dyDescent="0.2">
      <c r="A36" s="30" t="s">
        <v>18</v>
      </c>
      <c r="B36" s="9"/>
      <c r="C36" s="9">
        <f>SUM(C9:C35)</f>
        <v>44986</v>
      </c>
      <c r="D36" s="9">
        <f>SUM(D9:D35)</f>
        <v>38841</v>
      </c>
      <c r="E36" s="9">
        <f>SUM(E9:E35)</f>
        <v>25915</v>
      </c>
      <c r="F36" s="9">
        <f>SUM(F9:F35)</f>
        <v>0</v>
      </c>
      <c r="G36" s="9">
        <f>SUM(G9:G35)</f>
        <v>12926</v>
      </c>
      <c r="H36" s="9"/>
    </row>
    <row r="37" spans="1:13" x14ac:dyDescent="0.2">
      <c r="A37" s="202"/>
    </row>
    <row r="40" spans="1:13" s="488" customFormat="1" ht="15" customHeight="1" x14ac:dyDescent="0.2">
      <c r="A40" s="290"/>
      <c r="B40" s="290"/>
      <c r="C40" s="290"/>
      <c r="D40" s="290"/>
      <c r="E40" s="290"/>
      <c r="F40" s="635"/>
      <c r="G40" s="635"/>
      <c r="H40" s="568"/>
      <c r="I40" s="568"/>
    </row>
    <row r="41" spans="1:13" s="488" customFormat="1" ht="15" customHeight="1" x14ac:dyDescent="0.2">
      <c r="A41" s="290"/>
      <c r="B41" s="290"/>
      <c r="C41" s="290"/>
      <c r="D41" s="810" t="s">
        <v>13</v>
      </c>
      <c r="E41" s="810"/>
      <c r="F41" s="810"/>
      <c r="G41" s="810"/>
      <c r="H41" s="810"/>
      <c r="I41" s="568"/>
    </row>
    <row r="42" spans="1:13" s="488" customFormat="1" ht="15" customHeight="1" x14ac:dyDescent="0.2">
      <c r="A42" s="290"/>
      <c r="B42" s="290"/>
      <c r="C42" s="290"/>
      <c r="D42" s="810" t="s">
        <v>14</v>
      </c>
      <c r="E42" s="810"/>
      <c r="F42" s="810"/>
      <c r="G42" s="810"/>
      <c r="H42" s="810"/>
      <c r="I42" s="215"/>
    </row>
    <row r="43" spans="1:13" s="488" customFormat="1" ht="12.75" customHeight="1" x14ac:dyDescent="0.2">
      <c r="A43" s="290"/>
      <c r="C43" s="290"/>
      <c r="D43" s="810" t="s">
        <v>918</v>
      </c>
      <c r="E43" s="810"/>
      <c r="F43" s="810"/>
      <c r="G43" s="810"/>
      <c r="H43" s="810"/>
      <c r="I43" s="290"/>
    </row>
    <row r="44" spans="1:13" ht="15" x14ac:dyDescent="0.25">
      <c r="A44" s="492" t="s">
        <v>12</v>
      </c>
      <c r="B44" s="290"/>
      <c r="C44" s="290"/>
      <c r="D44" s="657"/>
      <c r="E44" s="207" t="s">
        <v>82</v>
      </c>
      <c r="F44" s="207"/>
      <c r="G44" s="207"/>
      <c r="H44" s="207"/>
      <c r="I44" s="290"/>
      <c r="J44" s="290"/>
      <c r="K44" s="290"/>
      <c r="L44" s="290"/>
      <c r="M44" s="290"/>
    </row>
  </sheetData>
  <mergeCells count="7">
    <mergeCell ref="D41:H41"/>
    <mergeCell ref="D42:H42"/>
    <mergeCell ref="D43:H43"/>
    <mergeCell ref="A1:F1"/>
    <mergeCell ref="A2:G2"/>
    <mergeCell ref="A4:G4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1:I44"/>
  <sheetViews>
    <sheetView topLeftCell="C4" zoomScaleSheetLayoutView="100" workbookViewId="0">
      <selection activeCell="F6" sqref="F6:H6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 x14ac:dyDescent="0.35">
      <c r="A1" s="922" t="s">
        <v>0</v>
      </c>
      <c r="B1" s="922"/>
      <c r="C1" s="922"/>
      <c r="D1" s="922"/>
      <c r="E1" s="922"/>
      <c r="F1" s="922"/>
      <c r="H1" s="194" t="s">
        <v>714</v>
      </c>
    </row>
    <row r="2" spans="1:8" ht="21" x14ac:dyDescent="0.35">
      <c r="A2" s="923" t="s">
        <v>738</v>
      </c>
      <c r="B2" s="923"/>
      <c r="C2" s="923"/>
      <c r="D2" s="923"/>
      <c r="E2" s="923"/>
      <c r="F2" s="923"/>
      <c r="G2" s="923"/>
    </row>
    <row r="3" spans="1:8" ht="15" x14ac:dyDescent="0.3">
      <c r="A3" s="196"/>
      <c r="B3" s="196"/>
    </row>
    <row r="4" spans="1:8" ht="18" customHeight="1" x14ac:dyDescent="0.35">
      <c r="A4" s="924" t="s">
        <v>715</v>
      </c>
      <c r="B4" s="924"/>
      <c r="C4" s="924"/>
      <c r="D4" s="924"/>
      <c r="E4" s="924"/>
      <c r="F4" s="924"/>
      <c r="G4" s="924"/>
    </row>
    <row r="5" spans="1:8" ht="15" x14ac:dyDescent="0.3">
      <c r="A5" s="197" t="s">
        <v>250</v>
      </c>
      <c r="B5" s="197" t="s">
        <v>917</v>
      </c>
      <c r="C5" s="197" t="s">
        <v>916</v>
      </c>
    </row>
    <row r="6" spans="1:8" ht="15" x14ac:dyDescent="0.3">
      <c r="A6" s="197"/>
      <c r="B6" s="197"/>
      <c r="F6" s="925" t="s">
        <v>1186</v>
      </c>
      <c r="G6" s="925"/>
      <c r="H6" s="925"/>
    </row>
    <row r="7" spans="1:8" ht="59.25" customHeight="1" x14ac:dyDescent="0.2">
      <c r="A7" s="287" t="s">
        <v>2</v>
      </c>
      <c r="B7" s="287" t="s">
        <v>3</v>
      </c>
      <c r="C7" s="289" t="s">
        <v>716</v>
      </c>
      <c r="D7" s="289" t="s">
        <v>717</v>
      </c>
      <c r="E7" s="289" t="s">
        <v>718</v>
      </c>
      <c r="F7" s="289" t="s">
        <v>719</v>
      </c>
      <c r="G7" s="310" t="s">
        <v>720</v>
      </c>
      <c r="H7" s="276" t="s">
        <v>721</v>
      </c>
    </row>
    <row r="8" spans="1:8" s="194" customFormat="1" ht="15" x14ac:dyDescent="0.25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311" t="s">
        <v>263</v>
      </c>
      <c r="H8" s="229">
        <v>8</v>
      </c>
    </row>
    <row r="9" spans="1:8" ht="15.75" customHeight="1" x14ac:dyDescent="0.25">
      <c r="A9" s="280">
        <v>1</v>
      </c>
      <c r="B9" s="349" t="s">
        <v>890</v>
      </c>
      <c r="C9" s="413">
        <f>'AT-8_Hon_CCH_Pry'!D14+'AT-8A_Hon_CCH_UPry'!D13</f>
        <v>2452</v>
      </c>
      <c r="D9" s="415">
        <v>2301</v>
      </c>
      <c r="E9" s="420">
        <v>10</v>
      </c>
      <c r="F9" s="420" t="s">
        <v>942</v>
      </c>
      <c r="G9" s="1003" t="s">
        <v>943</v>
      </c>
      <c r="H9" s="1003" t="s">
        <v>944</v>
      </c>
    </row>
    <row r="10" spans="1:8" ht="15.75" customHeight="1" x14ac:dyDescent="0.25">
      <c r="A10" s="280">
        <v>2</v>
      </c>
      <c r="B10" s="349" t="s">
        <v>891</v>
      </c>
      <c r="C10" s="413">
        <f>'AT-8_Hon_CCH_Pry'!D15+'AT-8A_Hon_CCH_UPry'!D14</f>
        <v>4329</v>
      </c>
      <c r="D10" s="415">
        <v>4045</v>
      </c>
      <c r="E10" s="420">
        <v>12</v>
      </c>
      <c r="F10" s="420" t="s">
        <v>942</v>
      </c>
      <c r="G10" s="1004"/>
      <c r="H10" s="1004"/>
    </row>
    <row r="11" spans="1:8" ht="15.75" customHeight="1" x14ac:dyDescent="0.25">
      <c r="A11" s="280">
        <v>3</v>
      </c>
      <c r="B11" s="349" t="s">
        <v>892</v>
      </c>
      <c r="C11" s="413">
        <f>'AT-8_Hon_CCH_Pry'!D16+'AT-8A_Hon_CCH_UPry'!D15</f>
        <v>3701</v>
      </c>
      <c r="D11" s="415">
        <v>3345</v>
      </c>
      <c r="E11" s="420">
        <v>12</v>
      </c>
      <c r="F11" s="420" t="s">
        <v>942</v>
      </c>
      <c r="G11" s="1004"/>
      <c r="H11" s="1004"/>
    </row>
    <row r="12" spans="1:8" ht="15.75" customHeight="1" x14ac:dyDescent="0.25">
      <c r="A12" s="280">
        <v>4</v>
      </c>
      <c r="B12" s="349" t="s">
        <v>893</v>
      </c>
      <c r="C12" s="413">
        <f>'AT-8_Hon_CCH_Pry'!D17+'AT-8A_Hon_CCH_UPry'!D16</f>
        <v>3841</v>
      </c>
      <c r="D12" s="415">
        <v>3674</v>
      </c>
      <c r="E12" s="420">
        <v>14</v>
      </c>
      <c r="F12" s="420" t="s">
        <v>942</v>
      </c>
      <c r="G12" s="1004"/>
      <c r="H12" s="1004"/>
    </row>
    <row r="13" spans="1:8" ht="15.75" customHeight="1" x14ac:dyDescent="0.25">
      <c r="A13" s="280">
        <v>5</v>
      </c>
      <c r="B13" s="349" t="s">
        <v>894</v>
      </c>
      <c r="C13" s="413">
        <f>'AT-8_Hon_CCH_Pry'!D18+'AT-8A_Hon_CCH_UPry'!D17</f>
        <v>2708</v>
      </c>
      <c r="D13" s="415">
        <v>2690</v>
      </c>
      <c r="E13" s="420">
        <v>8</v>
      </c>
      <c r="F13" s="420" t="s">
        <v>942</v>
      </c>
      <c r="G13" s="1004"/>
      <c r="H13" s="1004"/>
    </row>
    <row r="14" spans="1:8" ht="15.75" customHeight="1" x14ac:dyDescent="0.25">
      <c r="A14" s="280">
        <v>6</v>
      </c>
      <c r="B14" s="349" t="s">
        <v>895</v>
      </c>
      <c r="C14" s="413">
        <f>'AT-8_Hon_CCH_Pry'!D19+'AT-8A_Hon_CCH_UPry'!D18</f>
        <v>1274</v>
      </c>
      <c r="D14" s="415">
        <v>1045</v>
      </c>
      <c r="E14" s="420">
        <v>8</v>
      </c>
      <c r="F14" s="420" t="s">
        <v>942</v>
      </c>
      <c r="G14" s="1004"/>
      <c r="H14" s="1004"/>
    </row>
    <row r="15" spans="1:8" ht="15.75" customHeight="1" x14ac:dyDescent="0.25">
      <c r="A15" s="280">
        <v>7</v>
      </c>
      <c r="B15" s="349" t="s">
        <v>896</v>
      </c>
      <c r="C15" s="413">
        <f>'AT-8_Hon_CCH_Pry'!D20+'AT-8A_Hon_CCH_UPry'!D19</f>
        <v>5738</v>
      </c>
      <c r="D15" s="415">
        <v>5432</v>
      </c>
      <c r="E15" s="420">
        <v>14</v>
      </c>
      <c r="F15" s="420" t="s">
        <v>942</v>
      </c>
      <c r="G15" s="1004"/>
      <c r="H15" s="1004"/>
    </row>
    <row r="16" spans="1:8" ht="15.75" customHeight="1" x14ac:dyDescent="0.25">
      <c r="A16" s="280">
        <v>8</v>
      </c>
      <c r="B16" s="349" t="s">
        <v>897</v>
      </c>
      <c r="C16" s="413">
        <f>'AT-8_Hon_CCH_Pry'!D21+'AT-8A_Hon_CCH_UPry'!D20</f>
        <v>1358</v>
      </c>
      <c r="D16" s="415">
        <v>1239</v>
      </c>
      <c r="E16" s="420">
        <v>8</v>
      </c>
      <c r="F16" s="420" t="s">
        <v>942</v>
      </c>
      <c r="G16" s="1004"/>
      <c r="H16" s="1004"/>
    </row>
    <row r="17" spans="1:8" ht="15.75" customHeight="1" x14ac:dyDescent="0.25">
      <c r="A17" s="280">
        <v>9</v>
      </c>
      <c r="B17" s="349" t="s">
        <v>898</v>
      </c>
      <c r="C17" s="413">
        <f>'AT-8_Hon_CCH_Pry'!D22+'AT-8A_Hon_CCH_UPry'!D21</f>
        <v>2491</v>
      </c>
      <c r="D17" s="415">
        <v>2345</v>
      </c>
      <c r="E17" s="420">
        <v>8</v>
      </c>
      <c r="F17" s="420" t="s">
        <v>942</v>
      </c>
      <c r="G17" s="1004"/>
      <c r="H17" s="1004"/>
    </row>
    <row r="18" spans="1:8" ht="15.75" customHeight="1" x14ac:dyDescent="0.25">
      <c r="A18" s="280">
        <v>10</v>
      </c>
      <c r="B18" s="349" t="s">
        <v>899</v>
      </c>
      <c r="C18" s="413">
        <f>'AT-8_Hon_CCH_Pry'!D23+'AT-8A_Hon_CCH_UPry'!D22</f>
        <v>2397</v>
      </c>
      <c r="D18" s="415">
        <v>2210</v>
      </c>
      <c r="E18" s="420">
        <v>6</v>
      </c>
      <c r="F18" s="420" t="s">
        <v>942</v>
      </c>
      <c r="G18" s="1004"/>
      <c r="H18" s="1004"/>
    </row>
    <row r="19" spans="1:8" ht="15.75" customHeight="1" x14ac:dyDescent="0.25">
      <c r="A19" s="280">
        <v>11</v>
      </c>
      <c r="B19" s="349" t="s">
        <v>900</v>
      </c>
      <c r="C19" s="413">
        <f>'AT-8_Hon_CCH_Pry'!D24+'AT-8A_Hon_CCH_UPry'!D23</f>
        <v>2656</v>
      </c>
      <c r="D19" s="415">
        <v>2543</v>
      </c>
      <c r="E19" s="420">
        <v>10</v>
      </c>
      <c r="F19" s="420" t="s">
        <v>942</v>
      </c>
      <c r="G19" s="1004"/>
      <c r="H19" s="1004"/>
    </row>
    <row r="20" spans="1:8" ht="15.75" customHeight="1" x14ac:dyDescent="0.25">
      <c r="A20" s="280">
        <v>12</v>
      </c>
      <c r="B20" s="349" t="s">
        <v>901</v>
      </c>
      <c r="C20" s="413">
        <f>'AT-8_Hon_CCH_Pry'!D25+'AT-8A_Hon_CCH_UPry'!D24</f>
        <v>4832</v>
      </c>
      <c r="D20" s="415">
        <v>4657</v>
      </c>
      <c r="E20" s="420">
        <v>18</v>
      </c>
      <c r="F20" s="420" t="s">
        <v>942</v>
      </c>
      <c r="G20" s="1004"/>
      <c r="H20" s="1004"/>
    </row>
    <row r="21" spans="1:8" s="194" customFormat="1" ht="15.75" x14ac:dyDescent="0.25">
      <c r="A21" s="280">
        <v>13</v>
      </c>
      <c r="B21" s="349" t="s">
        <v>902</v>
      </c>
      <c r="C21" s="413">
        <f>'AT-8_Hon_CCH_Pry'!D26+'AT-8A_Hon_CCH_UPry'!D25</f>
        <v>3823</v>
      </c>
      <c r="D21" s="416">
        <v>3567</v>
      </c>
      <c r="E21" s="421">
        <v>16</v>
      </c>
      <c r="F21" s="420" t="s">
        <v>942</v>
      </c>
      <c r="G21" s="1004"/>
      <c r="H21" s="1004"/>
    </row>
    <row r="22" spans="1:8" s="194" customFormat="1" ht="15.75" x14ac:dyDescent="0.25">
      <c r="A22" s="280">
        <v>14</v>
      </c>
      <c r="B22" s="349" t="s">
        <v>903</v>
      </c>
      <c r="C22" s="413">
        <f>'AT-8_Hon_CCH_Pry'!D27+'AT-8A_Hon_CCH_UPry'!D26</f>
        <v>3573</v>
      </c>
      <c r="D22" s="416">
        <v>3432</v>
      </c>
      <c r="E22" s="421">
        <v>14</v>
      </c>
      <c r="F22" s="420" t="s">
        <v>942</v>
      </c>
      <c r="G22" s="1004"/>
      <c r="H22" s="1004"/>
    </row>
    <row r="23" spans="1:8" s="194" customFormat="1" ht="15.75" x14ac:dyDescent="0.25">
      <c r="A23" s="280">
        <v>15</v>
      </c>
      <c r="B23" s="349" t="s">
        <v>904</v>
      </c>
      <c r="C23" s="413">
        <f>'AT-8_Hon_CCH_Pry'!D28+'AT-8A_Hon_CCH_UPry'!D27</f>
        <v>3178</v>
      </c>
      <c r="D23" s="416">
        <v>3022</v>
      </c>
      <c r="E23" s="421">
        <v>8</v>
      </c>
      <c r="F23" s="420" t="s">
        <v>942</v>
      </c>
      <c r="G23" s="1004"/>
      <c r="H23" s="1004"/>
    </row>
    <row r="24" spans="1:8" s="194" customFormat="1" ht="15.75" x14ac:dyDescent="0.25">
      <c r="A24" s="280">
        <v>16</v>
      </c>
      <c r="B24" s="349" t="s">
        <v>905</v>
      </c>
      <c r="C24" s="413">
        <f>'AT-8_Hon_CCH_Pry'!D29+'AT-8A_Hon_CCH_UPry'!D28</f>
        <v>3238</v>
      </c>
      <c r="D24" s="416">
        <v>3149</v>
      </c>
      <c r="E24" s="421">
        <v>10</v>
      </c>
      <c r="F24" s="420" t="s">
        <v>942</v>
      </c>
      <c r="G24" s="1004"/>
      <c r="H24" s="1004"/>
    </row>
    <row r="25" spans="1:8" s="194" customFormat="1" ht="15.75" x14ac:dyDescent="0.25">
      <c r="A25" s="280">
        <v>17</v>
      </c>
      <c r="B25" s="349" t="s">
        <v>906</v>
      </c>
      <c r="C25" s="413">
        <f>'AT-8_Hon_CCH_Pry'!D30+'AT-8A_Hon_CCH_UPry'!D29</f>
        <v>3831</v>
      </c>
      <c r="D25" s="416">
        <v>3644</v>
      </c>
      <c r="E25" s="421">
        <v>10</v>
      </c>
      <c r="F25" s="420" t="s">
        <v>942</v>
      </c>
      <c r="G25" s="1004"/>
      <c r="H25" s="1004"/>
    </row>
    <row r="26" spans="1:8" s="194" customFormat="1" ht="15.75" x14ac:dyDescent="0.25">
      <c r="A26" s="280">
        <v>18</v>
      </c>
      <c r="B26" s="349" t="s">
        <v>907</v>
      </c>
      <c r="C26" s="413">
        <f>'AT-8_Hon_CCH_Pry'!D31+'AT-8A_Hon_CCH_UPry'!D30</f>
        <v>2481</v>
      </c>
      <c r="D26" s="416">
        <v>2387</v>
      </c>
      <c r="E26" s="421">
        <v>10</v>
      </c>
      <c r="F26" s="420" t="s">
        <v>942</v>
      </c>
      <c r="G26" s="1004"/>
      <c r="H26" s="1004"/>
    </row>
    <row r="27" spans="1:8" s="194" customFormat="1" ht="15.75" x14ac:dyDescent="0.25">
      <c r="A27" s="280">
        <v>19</v>
      </c>
      <c r="B27" s="349" t="s">
        <v>908</v>
      </c>
      <c r="C27" s="413">
        <f>'AT-8_Hon_CCH_Pry'!D32+'AT-8A_Hon_CCH_UPry'!D31</f>
        <v>3668</v>
      </c>
      <c r="D27" s="416">
        <v>3566</v>
      </c>
      <c r="E27" s="421">
        <v>10</v>
      </c>
      <c r="F27" s="420" t="s">
        <v>942</v>
      </c>
      <c r="G27" s="1004"/>
      <c r="H27" s="1004"/>
    </row>
    <row r="28" spans="1:8" s="194" customFormat="1" ht="15.75" x14ac:dyDescent="0.25">
      <c r="A28" s="280">
        <v>20</v>
      </c>
      <c r="B28" s="349" t="s">
        <v>909</v>
      </c>
      <c r="C28" s="413">
        <f>'AT-8_Hon_CCH_Pry'!D33+'AT-8A_Hon_CCH_UPry'!D32</f>
        <v>2322</v>
      </c>
      <c r="D28" s="416">
        <v>2202</v>
      </c>
      <c r="E28" s="421">
        <v>6</v>
      </c>
      <c r="F28" s="420" t="s">
        <v>942</v>
      </c>
      <c r="G28" s="1004"/>
      <c r="H28" s="1004"/>
    </row>
    <row r="29" spans="1:8" ht="15.75" x14ac:dyDescent="0.25">
      <c r="A29" s="280">
        <v>21</v>
      </c>
      <c r="B29" s="349" t="s">
        <v>910</v>
      </c>
      <c r="C29" s="413">
        <f>'AT-8_Hon_CCH_Pry'!D34+'AT-8A_Hon_CCH_UPry'!D33</f>
        <v>851</v>
      </c>
      <c r="D29" s="418">
        <v>599</v>
      </c>
      <c r="E29" s="417">
        <v>4</v>
      </c>
      <c r="F29" s="420" t="s">
        <v>942</v>
      </c>
      <c r="G29" s="1004"/>
      <c r="H29" s="1004"/>
    </row>
    <row r="30" spans="1:8" ht="15.75" x14ac:dyDescent="0.25">
      <c r="A30" s="280">
        <v>22</v>
      </c>
      <c r="B30" s="349" t="s">
        <v>911</v>
      </c>
      <c r="C30" s="413">
        <f>'AT-8_Hon_CCH_Pry'!D35+'AT-8A_Hon_CCH_UPry'!D34</f>
        <v>5113</v>
      </c>
      <c r="D30" s="418">
        <v>4567</v>
      </c>
      <c r="E30" s="417">
        <v>18</v>
      </c>
      <c r="F30" s="420" t="s">
        <v>942</v>
      </c>
      <c r="G30" s="1004"/>
      <c r="H30" s="1004"/>
    </row>
    <row r="31" spans="1:8" ht="15.75" x14ac:dyDescent="0.25">
      <c r="A31" s="280">
        <v>23</v>
      </c>
      <c r="B31" s="349" t="s">
        <v>912</v>
      </c>
      <c r="C31" s="413">
        <f>'AT-8_Hon_CCH_Pry'!D36+'AT-8A_Hon_CCH_UPry'!D35</f>
        <v>3429</v>
      </c>
      <c r="D31" s="418">
        <v>3318</v>
      </c>
      <c r="E31" s="417">
        <v>8</v>
      </c>
      <c r="F31" s="420" t="s">
        <v>942</v>
      </c>
      <c r="G31" s="1004"/>
      <c r="H31" s="1004"/>
    </row>
    <row r="32" spans="1:8" ht="15.75" x14ac:dyDescent="0.25">
      <c r="A32" s="280">
        <v>24</v>
      </c>
      <c r="B32" s="349" t="s">
        <v>913</v>
      </c>
      <c r="C32" s="413">
        <f>'AT-8_Hon_CCH_Pry'!D37+'AT-8A_Hon_CCH_UPry'!D36</f>
        <v>5272</v>
      </c>
      <c r="D32" s="418">
        <v>5038</v>
      </c>
      <c r="E32" s="417">
        <v>18</v>
      </c>
      <c r="F32" s="420" t="s">
        <v>942</v>
      </c>
      <c r="G32" s="1004"/>
      <c r="H32" s="1004"/>
    </row>
    <row r="33" spans="1:9" ht="15.75" x14ac:dyDescent="0.25">
      <c r="A33" s="280">
        <v>25</v>
      </c>
      <c r="B33" s="349" t="s">
        <v>919</v>
      </c>
      <c r="C33" s="413">
        <f>'AT-8_Hon_CCH_Pry'!D38+'AT-8A_Hon_CCH_UPry'!D37</f>
        <v>3385</v>
      </c>
      <c r="D33" s="418">
        <v>3122</v>
      </c>
      <c r="E33" s="417">
        <v>14</v>
      </c>
      <c r="F33" s="420" t="s">
        <v>942</v>
      </c>
      <c r="G33" s="1004"/>
      <c r="H33" s="1004"/>
    </row>
    <row r="34" spans="1:9" ht="15.75" x14ac:dyDescent="0.25">
      <c r="A34" s="280">
        <v>26</v>
      </c>
      <c r="B34" s="349" t="s">
        <v>914</v>
      </c>
      <c r="C34" s="413">
        <f>'AT-8_Hon_CCH_Pry'!D39+'AT-8A_Hon_CCH_UPry'!D38</f>
        <v>1475</v>
      </c>
      <c r="D34" s="418">
        <v>1267</v>
      </c>
      <c r="E34" s="417">
        <v>6</v>
      </c>
      <c r="F34" s="420" t="s">
        <v>942</v>
      </c>
      <c r="G34" s="1004"/>
      <c r="H34" s="1004"/>
    </row>
    <row r="35" spans="1:9" ht="15.75" x14ac:dyDescent="0.25">
      <c r="A35" s="280">
        <v>27</v>
      </c>
      <c r="B35" s="349" t="s">
        <v>915</v>
      </c>
      <c r="C35" s="413">
        <f>'AT-8_Hon_CCH_Pry'!D40+'AT-8A_Hon_CCH_UPry'!D39</f>
        <v>3533</v>
      </c>
      <c r="D35" s="418">
        <v>3369</v>
      </c>
      <c r="E35" s="414">
        <v>12</v>
      </c>
      <c r="F35" s="420" t="s">
        <v>942</v>
      </c>
      <c r="G35" s="1005"/>
      <c r="H35" s="1005"/>
    </row>
    <row r="36" spans="1:9" x14ac:dyDescent="0.2">
      <c r="A36" s="30" t="s">
        <v>18</v>
      </c>
      <c r="B36" s="9"/>
      <c r="C36" s="345">
        <f>SUM(C9:C35)</f>
        <v>86949</v>
      </c>
      <c r="D36" s="158">
        <f>SUM(D9:D35)</f>
        <v>81775</v>
      </c>
      <c r="E36" s="158">
        <f>SUM(E9:E35)</f>
        <v>292</v>
      </c>
      <c r="F36" s="422" t="s">
        <v>942</v>
      </c>
      <c r="G36" s="71"/>
      <c r="H36" s="9"/>
    </row>
    <row r="37" spans="1:9" x14ac:dyDescent="0.2">
      <c r="A37" s="202"/>
    </row>
    <row r="40" spans="1:9" s="488" customFormat="1" ht="15" customHeight="1" x14ac:dyDescent="0.2">
      <c r="A40" s="290"/>
      <c r="B40" s="290"/>
      <c r="C40" s="290"/>
      <c r="D40" s="290"/>
      <c r="E40" s="290"/>
      <c r="F40" s="635"/>
      <c r="G40" s="635"/>
      <c r="H40" s="568"/>
      <c r="I40" s="568"/>
    </row>
    <row r="41" spans="1:9" s="488" customFormat="1" ht="15" customHeight="1" x14ac:dyDescent="0.2">
      <c r="A41" s="290"/>
      <c r="B41" s="290"/>
      <c r="C41" s="290"/>
      <c r="D41" s="810" t="s">
        <v>13</v>
      </c>
      <c r="E41" s="810"/>
      <c r="F41" s="810"/>
      <c r="G41" s="810"/>
      <c r="H41" s="810"/>
      <c r="I41" s="568"/>
    </row>
    <row r="42" spans="1:9" s="488" customFormat="1" ht="15" customHeight="1" x14ac:dyDescent="0.2">
      <c r="A42" s="290"/>
      <c r="B42" s="290"/>
      <c r="C42" s="290"/>
      <c r="D42" s="810" t="s">
        <v>14</v>
      </c>
      <c r="E42" s="810"/>
      <c r="F42" s="810"/>
      <c r="G42" s="810"/>
      <c r="H42" s="810"/>
      <c r="I42" s="215"/>
    </row>
    <row r="43" spans="1:9" s="488" customFormat="1" x14ac:dyDescent="0.2">
      <c r="A43" s="290"/>
      <c r="C43" s="290"/>
      <c r="D43" s="810" t="s">
        <v>918</v>
      </c>
      <c r="E43" s="810"/>
      <c r="F43" s="810"/>
      <c r="G43" s="810"/>
      <c r="H43" s="810"/>
      <c r="I43" s="290"/>
    </row>
    <row r="44" spans="1:9" ht="15" x14ac:dyDescent="0.25">
      <c r="A44" s="492" t="s">
        <v>12</v>
      </c>
      <c r="B44" s="290"/>
      <c r="C44" s="290"/>
      <c r="D44" s="657"/>
      <c r="E44" s="207" t="s">
        <v>82</v>
      </c>
      <c r="F44" s="207"/>
      <c r="G44" s="207"/>
      <c r="H44" s="207"/>
      <c r="I44" s="290"/>
    </row>
  </sheetData>
  <mergeCells count="9">
    <mergeCell ref="D41:H41"/>
    <mergeCell ref="D42:H42"/>
    <mergeCell ref="D43:H43"/>
    <mergeCell ref="A1:F1"/>
    <mergeCell ref="A2:G2"/>
    <mergeCell ref="A4:G4"/>
    <mergeCell ref="F6:H6"/>
    <mergeCell ref="G9:G35"/>
    <mergeCell ref="H9:H35"/>
  </mergeCells>
  <phoneticPr fontId="12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S34"/>
  <sheetViews>
    <sheetView topLeftCell="A7" zoomScaleSheetLayoutView="90" workbookViewId="0">
      <selection activeCell="F21" sqref="F21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870"/>
      <c r="E1" s="870"/>
      <c r="H1" s="43"/>
      <c r="I1" s="926" t="s">
        <v>66</v>
      </c>
      <c r="J1" s="926"/>
    </row>
    <row r="2" spans="1:19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9" ht="10.5" customHeight="1" x14ac:dyDescent="0.2"/>
    <row r="5" spans="1:19" s="15" customFormat="1" ht="24.75" customHeight="1" x14ac:dyDescent="0.25">
      <c r="A5" s="1006" t="s">
        <v>432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</row>
    <row r="6" spans="1:19" s="15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 ht="15" x14ac:dyDescent="0.3">
      <c r="A7" s="197" t="s">
        <v>917</v>
      </c>
      <c r="B7" s="197" t="s">
        <v>916</v>
      </c>
      <c r="E7" s="964"/>
      <c r="F7" s="964"/>
      <c r="G7" s="964"/>
      <c r="H7" s="964"/>
      <c r="I7" s="964" t="s">
        <v>1187</v>
      </c>
      <c r="J7" s="964"/>
      <c r="K7" s="964"/>
    </row>
    <row r="8" spans="1:19" s="13" customFormat="1" ht="15.75" hidden="1" x14ac:dyDescent="0.25">
      <c r="C8" s="932" t="s">
        <v>15</v>
      </c>
      <c r="D8" s="932"/>
      <c r="E8" s="932"/>
      <c r="F8" s="932"/>
      <c r="G8" s="932"/>
      <c r="H8" s="932"/>
      <c r="I8" s="932"/>
      <c r="J8" s="932"/>
    </row>
    <row r="9" spans="1:19" ht="44.25" customHeight="1" x14ac:dyDescent="0.2">
      <c r="A9" s="929" t="s">
        <v>22</v>
      </c>
      <c r="B9" s="929" t="s">
        <v>56</v>
      </c>
      <c r="C9" s="828" t="s">
        <v>458</v>
      </c>
      <c r="D9" s="830"/>
      <c r="E9" s="828" t="s">
        <v>36</v>
      </c>
      <c r="F9" s="830"/>
      <c r="G9" s="828" t="s">
        <v>37</v>
      </c>
      <c r="H9" s="830"/>
      <c r="I9" s="824" t="s">
        <v>103</v>
      </c>
      <c r="J9" s="824"/>
      <c r="K9" s="929" t="s">
        <v>507</v>
      </c>
      <c r="R9" s="9"/>
      <c r="S9" s="12"/>
    </row>
    <row r="10" spans="1:19" s="14" customFormat="1" ht="42.6" customHeight="1" x14ac:dyDescent="0.2">
      <c r="A10" s="930"/>
      <c r="B10" s="930"/>
      <c r="C10" s="5" t="s">
        <v>38</v>
      </c>
      <c r="D10" s="5" t="s">
        <v>102</v>
      </c>
      <c r="E10" s="5" t="s">
        <v>38</v>
      </c>
      <c r="F10" s="5" t="s">
        <v>102</v>
      </c>
      <c r="G10" s="5" t="s">
        <v>38</v>
      </c>
      <c r="H10" s="5" t="s">
        <v>102</v>
      </c>
      <c r="I10" s="5" t="s">
        <v>132</v>
      </c>
      <c r="J10" s="5" t="s">
        <v>133</v>
      </c>
      <c r="K10" s="930"/>
    </row>
    <row r="11" spans="1:19" x14ac:dyDescent="0.2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3">
        <v>11</v>
      </c>
    </row>
    <row r="12" spans="1:19" ht="15.75" customHeight="1" x14ac:dyDescent="0.2">
      <c r="A12" s="8">
        <v>1</v>
      </c>
      <c r="B12" s="18" t="s">
        <v>371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/>
    </row>
    <row r="13" spans="1:19" ht="15.75" customHeight="1" x14ac:dyDescent="0.2">
      <c r="A13" s="8">
        <v>2</v>
      </c>
      <c r="B13" s="18" t="s">
        <v>372</v>
      </c>
      <c r="C13" s="9">
        <v>11586</v>
      </c>
      <c r="D13" s="333">
        <f>C13*60000/100000</f>
        <v>6951.6</v>
      </c>
      <c r="E13" s="9">
        <v>11586</v>
      </c>
      <c r="F13" s="333">
        <v>6950.4</v>
      </c>
      <c r="G13" s="9">
        <v>0</v>
      </c>
      <c r="H13" s="9">
        <v>0</v>
      </c>
      <c r="I13" s="9">
        <v>0</v>
      </c>
      <c r="J13" s="9">
        <v>0</v>
      </c>
      <c r="K13" s="9"/>
    </row>
    <row r="14" spans="1:19" ht="15.75" customHeight="1" x14ac:dyDescent="0.2">
      <c r="A14" s="8">
        <v>3</v>
      </c>
      <c r="B14" s="18" t="s">
        <v>373</v>
      </c>
      <c r="C14" s="9">
        <v>13363</v>
      </c>
      <c r="D14" s="333">
        <f t="shared" ref="D14:D15" si="0">C14*60000/100000</f>
        <v>8017.8</v>
      </c>
      <c r="E14" s="9">
        <v>13363</v>
      </c>
      <c r="F14" s="9">
        <v>8017.8</v>
      </c>
      <c r="G14" s="9">
        <v>0</v>
      </c>
      <c r="H14" s="9">
        <v>0</v>
      </c>
      <c r="I14" s="9">
        <v>0</v>
      </c>
      <c r="J14" s="9">
        <v>0</v>
      </c>
      <c r="K14" s="9"/>
    </row>
    <row r="15" spans="1:19" ht="15.75" customHeight="1" x14ac:dyDescent="0.2">
      <c r="A15" s="8">
        <v>4</v>
      </c>
      <c r="B15" s="18" t="s">
        <v>374</v>
      </c>
      <c r="C15" s="9">
        <v>13364</v>
      </c>
      <c r="D15" s="333">
        <f t="shared" si="0"/>
        <v>8018.4</v>
      </c>
      <c r="E15" s="9">
        <v>13336</v>
      </c>
      <c r="F15" s="333">
        <v>8048.4</v>
      </c>
      <c r="G15" s="9">
        <v>28</v>
      </c>
      <c r="H15" s="333">
        <v>0</v>
      </c>
      <c r="I15" s="9">
        <v>0</v>
      </c>
      <c r="J15" s="9">
        <v>0</v>
      </c>
      <c r="K15" s="9"/>
    </row>
    <row r="16" spans="1:19" ht="15.75" customHeight="1" x14ac:dyDescent="0.2">
      <c r="A16" s="8">
        <v>5</v>
      </c>
      <c r="B16" s="18" t="s">
        <v>375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/>
    </row>
    <row r="17" spans="1:16" ht="15.75" customHeight="1" x14ac:dyDescent="0.2">
      <c r="A17" s="8">
        <v>6</v>
      </c>
      <c r="B17" s="18" t="s">
        <v>376</v>
      </c>
      <c r="C17" s="9">
        <v>8953</v>
      </c>
      <c r="D17" s="9">
        <v>9352.15</v>
      </c>
      <c r="E17" s="9">
        <v>7361</v>
      </c>
      <c r="F17" s="333">
        <v>8274.65</v>
      </c>
      <c r="G17" s="9">
        <v>1690</v>
      </c>
      <c r="H17" s="333">
        <f>D17-F17</f>
        <v>1077.5</v>
      </c>
      <c r="I17" s="9">
        <v>0</v>
      </c>
      <c r="J17" s="333">
        <v>0</v>
      </c>
      <c r="K17" s="9"/>
    </row>
    <row r="18" spans="1:16" ht="15.75" customHeight="1" x14ac:dyDescent="0.2">
      <c r="A18" s="8">
        <v>7</v>
      </c>
      <c r="B18" s="18" t="s">
        <v>377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/>
    </row>
    <row r="19" spans="1:16" s="12" customFormat="1" ht="15.75" customHeight="1" x14ac:dyDescent="0.2">
      <c r="A19" s="8">
        <v>8</v>
      </c>
      <c r="B19" s="18" t="s">
        <v>247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/>
    </row>
    <row r="20" spans="1:16" s="12" customFormat="1" ht="15.75" customHeight="1" x14ac:dyDescent="0.2">
      <c r="A20" s="8">
        <v>9</v>
      </c>
      <c r="B20" s="18" t="s">
        <v>352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</row>
    <row r="21" spans="1:16" s="12" customFormat="1" ht="15.75" customHeight="1" x14ac:dyDescent="0.2">
      <c r="A21" s="8">
        <v>10</v>
      </c>
      <c r="B21" s="18" t="s">
        <v>469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</row>
    <row r="22" spans="1:16" s="12" customFormat="1" ht="15.75" customHeight="1" x14ac:dyDescent="0.2">
      <c r="A22" s="8">
        <v>11</v>
      </c>
      <c r="B22" s="18" t="s">
        <v>506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/>
    </row>
    <row r="23" spans="1:16" s="12" customFormat="1" ht="15.75" customHeight="1" x14ac:dyDescent="0.2">
      <c r="A23" s="8">
        <v>12</v>
      </c>
      <c r="B23" s="18" t="s">
        <v>681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/>
    </row>
    <row r="24" spans="1:16" s="12" customFormat="1" ht="15.75" customHeight="1" x14ac:dyDescent="0.2">
      <c r="A24" s="8">
        <v>14</v>
      </c>
      <c r="B24" s="18" t="s">
        <v>840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/>
    </row>
    <row r="25" spans="1:16" s="12" customFormat="1" ht="15.75" customHeight="1" x14ac:dyDescent="0.2">
      <c r="A25" s="3" t="s">
        <v>18</v>
      </c>
      <c r="B25" s="9"/>
      <c r="C25" s="9">
        <f>SUM(C13:C21)</f>
        <v>47266</v>
      </c>
      <c r="D25" s="9">
        <f t="shared" ref="D25:J25" si="1">SUM(D13:D21)</f>
        <v>32339.950000000004</v>
      </c>
      <c r="E25" s="9">
        <f t="shared" si="1"/>
        <v>45646</v>
      </c>
      <c r="F25" s="333">
        <f t="shared" si="1"/>
        <v>31291.25</v>
      </c>
      <c r="G25" s="9">
        <f t="shared" si="1"/>
        <v>1718</v>
      </c>
      <c r="H25" s="333">
        <f t="shared" si="1"/>
        <v>1077.5</v>
      </c>
      <c r="I25" s="9">
        <f t="shared" si="1"/>
        <v>0</v>
      </c>
      <c r="J25" s="9">
        <f t="shared" si="1"/>
        <v>0</v>
      </c>
      <c r="K25" s="9"/>
    </row>
    <row r="26" spans="1:16" s="12" customFormat="1" x14ac:dyDescent="0.2">
      <c r="A26" s="10"/>
    </row>
    <row r="27" spans="1:16" s="12" customFormat="1" x14ac:dyDescent="0.2">
      <c r="A27" s="10"/>
    </row>
    <row r="28" spans="1:16" s="12" customFormat="1" x14ac:dyDescent="0.2">
      <c r="A28" s="10"/>
    </row>
    <row r="29" spans="1:16" s="569" customFormat="1" ht="13.9" customHeight="1" x14ac:dyDescent="0.2">
      <c r="B29" s="563"/>
      <c r="C29" s="563"/>
      <c r="D29" s="563"/>
      <c r="E29" s="563"/>
      <c r="F29" s="563"/>
      <c r="G29" s="810" t="s">
        <v>13</v>
      </c>
      <c r="H29" s="810"/>
      <c r="I29" s="810"/>
      <c r="J29" s="810"/>
      <c r="K29" s="810"/>
      <c r="L29" s="563"/>
      <c r="M29" s="563"/>
      <c r="N29" s="563"/>
      <c r="O29" s="563"/>
      <c r="P29" s="563"/>
    </row>
    <row r="30" spans="1:16" s="569" customFormat="1" ht="13.15" customHeight="1" x14ac:dyDescent="0.2">
      <c r="A30" s="563"/>
      <c r="B30" s="563"/>
      <c r="C30" s="563"/>
      <c r="D30" s="563"/>
      <c r="E30" s="563"/>
      <c r="F30" s="563"/>
      <c r="G30" s="810" t="s">
        <v>14</v>
      </c>
      <c r="H30" s="810"/>
      <c r="I30" s="810"/>
      <c r="J30" s="810"/>
      <c r="K30" s="810"/>
      <c r="L30" s="563"/>
      <c r="M30" s="563"/>
      <c r="N30" s="563"/>
      <c r="O30" s="563"/>
      <c r="P30" s="563"/>
    </row>
    <row r="31" spans="1:16" s="569" customFormat="1" ht="13.15" customHeight="1" x14ac:dyDescent="0.2">
      <c r="A31" s="563"/>
      <c r="B31" s="563"/>
      <c r="C31" s="563"/>
      <c r="D31" s="563"/>
      <c r="E31" s="563"/>
      <c r="F31" s="563"/>
      <c r="G31" s="810" t="s">
        <v>918</v>
      </c>
      <c r="H31" s="810"/>
      <c r="I31" s="810"/>
      <c r="J31" s="810"/>
      <c r="K31" s="810"/>
      <c r="L31" s="563"/>
      <c r="M31" s="563"/>
      <c r="N31" s="563"/>
      <c r="O31" s="563"/>
      <c r="P31" s="563"/>
    </row>
    <row r="32" spans="1:16" s="569" customFormat="1" ht="15" x14ac:dyDescent="0.25">
      <c r="A32" s="492" t="s">
        <v>12</v>
      </c>
      <c r="B32" s="14"/>
      <c r="C32" s="14"/>
      <c r="D32" s="14"/>
      <c r="E32" s="14"/>
      <c r="F32" s="14"/>
      <c r="G32" s="657"/>
      <c r="H32" s="207" t="s">
        <v>82</v>
      </c>
      <c r="I32" s="207"/>
      <c r="J32" s="207"/>
      <c r="K32" s="207"/>
    </row>
    <row r="33" spans="1:10" s="15" customFormat="1" x14ac:dyDescent="0.2">
      <c r="A33" s="14"/>
    </row>
    <row r="34" spans="1:10" x14ac:dyDescent="0.2">
      <c r="A34" s="931"/>
      <c r="B34" s="931"/>
      <c r="C34" s="931"/>
      <c r="D34" s="931"/>
      <c r="E34" s="931"/>
      <c r="F34" s="931"/>
      <c r="G34" s="931"/>
      <c r="H34" s="931"/>
      <c r="I34" s="931"/>
      <c r="J34" s="931"/>
    </row>
  </sheetData>
  <mergeCells count="19">
    <mergeCell ref="E7:H7"/>
    <mergeCell ref="I7:K7"/>
    <mergeCell ref="D1:E1"/>
    <mergeCell ref="I1:J1"/>
    <mergeCell ref="A2:J2"/>
    <mergeCell ref="A3:J3"/>
    <mergeCell ref="A5:K5"/>
    <mergeCell ref="K9:K10"/>
    <mergeCell ref="A34:J34"/>
    <mergeCell ref="C8:J8"/>
    <mergeCell ref="A9:A10"/>
    <mergeCell ref="B9:B10"/>
    <mergeCell ref="C9:D9"/>
    <mergeCell ref="E9:F9"/>
    <mergeCell ref="G9:H9"/>
    <mergeCell ref="I9:J9"/>
    <mergeCell ref="G29:K29"/>
    <mergeCell ref="G30:K30"/>
    <mergeCell ref="G31:K31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S83"/>
  <sheetViews>
    <sheetView topLeftCell="A21" zoomScaleSheetLayoutView="90" workbookViewId="0">
      <selection activeCell="F31" sqref="F31"/>
    </sheetView>
  </sheetViews>
  <sheetFormatPr defaultRowHeight="12.75" x14ac:dyDescent="0.2"/>
  <cols>
    <col min="2" max="2" width="14.710937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870"/>
      <c r="E1" s="870"/>
      <c r="H1" s="43"/>
      <c r="I1" s="926" t="s">
        <v>378</v>
      </c>
      <c r="J1" s="926"/>
    </row>
    <row r="2" spans="1:19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20.25" x14ac:dyDescent="0.3">
      <c r="A3" s="863" t="s">
        <v>741</v>
      </c>
      <c r="B3" s="863"/>
      <c r="C3" s="863"/>
      <c r="D3" s="863"/>
      <c r="E3" s="863"/>
      <c r="F3" s="863"/>
      <c r="G3" s="863"/>
      <c r="H3" s="863"/>
      <c r="I3" s="863"/>
      <c r="J3" s="863"/>
    </row>
    <row r="4" spans="1:19" ht="10.5" customHeight="1" x14ac:dyDescent="0.2"/>
    <row r="5" spans="1:19" s="15" customFormat="1" ht="18.75" customHeight="1" x14ac:dyDescent="0.25">
      <c r="A5" s="1006" t="s">
        <v>433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</row>
    <row r="6" spans="1:19" s="15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 ht="15" x14ac:dyDescent="0.3">
      <c r="A7" s="197" t="s">
        <v>917</v>
      </c>
      <c r="B7" s="197" t="s">
        <v>916</v>
      </c>
      <c r="E7" s="964"/>
      <c r="F7" s="964"/>
      <c r="G7" s="964"/>
      <c r="H7" s="964"/>
      <c r="I7" s="964" t="s">
        <v>1187</v>
      </c>
      <c r="J7" s="964"/>
      <c r="K7" s="964"/>
    </row>
    <row r="8" spans="1:19" s="13" customFormat="1" ht="15.75" hidden="1" x14ac:dyDescent="0.25">
      <c r="C8" s="932" t="s">
        <v>15</v>
      </c>
      <c r="D8" s="932"/>
      <c r="E8" s="932"/>
      <c r="F8" s="932"/>
      <c r="G8" s="932"/>
      <c r="H8" s="932"/>
      <c r="I8" s="932"/>
      <c r="J8" s="932"/>
    </row>
    <row r="9" spans="1:19" ht="30" customHeight="1" x14ac:dyDescent="0.2">
      <c r="A9" s="929" t="s">
        <v>22</v>
      </c>
      <c r="B9" s="929" t="s">
        <v>35</v>
      </c>
      <c r="C9" s="828" t="s">
        <v>854</v>
      </c>
      <c r="D9" s="830"/>
      <c r="E9" s="828" t="s">
        <v>36</v>
      </c>
      <c r="F9" s="830"/>
      <c r="G9" s="828" t="s">
        <v>37</v>
      </c>
      <c r="H9" s="830"/>
      <c r="I9" s="824" t="s">
        <v>103</v>
      </c>
      <c r="J9" s="824"/>
      <c r="K9" s="929" t="s">
        <v>233</v>
      </c>
      <c r="R9" s="9"/>
      <c r="S9" s="12"/>
    </row>
    <row r="10" spans="1:19" s="14" customFormat="1" ht="42.6" customHeight="1" x14ac:dyDescent="0.2">
      <c r="A10" s="930"/>
      <c r="B10" s="930"/>
      <c r="C10" s="5" t="s">
        <v>38</v>
      </c>
      <c r="D10" s="5" t="s">
        <v>102</v>
      </c>
      <c r="E10" s="5" t="s">
        <v>38</v>
      </c>
      <c r="F10" s="5" t="s">
        <v>102</v>
      </c>
      <c r="G10" s="5" t="s">
        <v>38</v>
      </c>
      <c r="H10" s="5" t="s">
        <v>102</v>
      </c>
      <c r="I10" s="5" t="s">
        <v>132</v>
      </c>
      <c r="J10" s="5" t="s">
        <v>133</v>
      </c>
      <c r="K10" s="930"/>
    </row>
    <row r="11" spans="1:19" x14ac:dyDescent="0.2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3">
        <v>11</v>
      </c>
    </row>
    <row r="12" spans="1:19" ht="16.5" customHeight="1" x14ac:dyDescent="0.2">
      <c r="A12" s="18">
        <v>1</v>
      </c>
      <c r="B12" s="349" t="s">
        <v>890</v>
      </c>
      <c r="C12" s="366">
        <v>1342</v>
      </c>
      <c r="D12" s="431">
        <v>917.92800000000011</v>
      </c>
      <c r="E12" s="9">
        <v>1330</v>
      </c>
      <c r="F12" s="340">
        <v>910.62800000000016</v>
      </c>
      <c r="G12" s="366">
        <f>C12-E12</f>
        <v>12</v>
      </c>
      <c r="H12" s="340">
        <f>D12-F12</f>
        <v>7.2999999999999545</v>
      </c>
      <c r="I12" s="432">
        <v>0</v>
      </c>
      <c r="J12" s="340">
        <v>0</v>
      </c>
      <c r="K12" s="356"/>
    </row>
    <row r="13" spans="1:19" ht="16.5" customHeight="1" x14ac:dyDescent="0.2">
      <c r="A13" s="18">
        <v>2</v>
      </c>
      <c r="B13" s="349" t="s">
        <v>891</v>
      </c>
      <c r="C13" s="366">
        <v>1895</v>
      </c>
      <c r="D13" s="431">
        <v>1296.18</v>
      </c>
      <c r="E13" s="9">
        <v>1839</v>
      </c>
      <c r="F13" s="340">
        <v>1254.68</v>
      </c>
      <c r="G13" s="366">
        <f t="shared" ref="G13:G38" si="0">C13-E13</f>
        <v>56</v>
      </c>
      <c r="H13" s="340">
        <f t="shared" ref="H13:H38" si="1">D13-F13</f>
        <v>41.5</v>
      </c>
      <c r="I13" s="432">
        <v>0</v>
      </c>
      <c r="J13" s="340">
        <v>0</v>
      </c>
      <c r="K13" s="356"/>
      <c r="L13" s="488"/>
    </row>
    <row r="14" spans="1:19" ht="16.5" customHeight="1" x14ac:dyDescent="0.2">
      <c r="A14" s="18">
        <v>3</v>
      </c>
      <c r="B14" s="349" t="s">
        <v>892</v>
      </c>
      <c r="C14" s="366">
        <v>2069</v>
      </c>
      <c r="D14" s="431">
        <v>1415.1960000000001</v>
      </c>
      <c r="E14" s="9">
        <v>2042</v>
      </c>
      <c r="F14" s="340">
        <v>1393.6960000000001</v>
      </c>
      <c r="G14" s="366">
        <f t="shared" si="0"/>
        <v>27</v>
      </c>
      <c r="H14" s="340">
        <f t="shared" si="1"/>
        <v>21.5</v>
      </c>
      <c r="I14" s="432">
        <v>0</v>
      </c>
      <c r="J14" s="340">
        <v>0</v>
      </c>
      <c r="K14" s="356"/>
      <c r="L14" s="488"/>
    </row>
    <row r="15" spans="1:19" ht="16.5" customHeight="1" x14ac:dyDescent="0.2">
      <c r="A15" s="18">
        <v>4</v>
      </c>
      <c r="B15" s="349" t="s">
        <v>893</v>
      </c>
      <c r="C15" s="366">
        <v>2428</v>
      </c>
      <c r="D15" s="431">
        <v>1660.7520000000002</v>
      </c>
      <c r="E15" s="9">
        <v>2250</v>
      </c>
      <c r="F15" s="340">
        <v>1608.0519999999999</v>
      </c>
      <c r="G15" s="366">
        <f t="shared" si="0"/>
        <v>178</v>
      </c>
      <c r="H15" s="340">
        <f t="shared" si="1"/>
        <v>52.700000000000273</v>
      </c>
      <c r="I15" s="432">
        <v>0</v>
      </c>
      <c r="J15" s="340">
        <v>0</v>
      </c>
      <c r="K15" s="356"/>
      <c r="L15" s="488"/>
    </row>
    <row r="16" spans="1:19" ht="16.5" customHeight="1" x14ac:dyDescent="0.2">
      <c r="A16" s="18">
        <v>5</v>
      </c>
      <c r="B16" s="349" t="s">
        <v>894</v>
      </c>
      <c r="C16" s="366">
        <v>1166</v>
      </c>
      <c r="D16" s="431">
        <v>797.5440000000001</v>
      </c>
      <c r="E16" s="9">
        <v>1125</v>
      </c>
      <c r="F16" s="340">
        <v>755.84400000000005</v>
      </c>
      <c r="G16" s="366">
        <f t="shared" si="0"/>
        <v>41</v>
      </c>
      <c r="H16" s="340">
        <f t="shared" si="1"/>
        <v>41.700000000000045</v>
      </c>
      <c r="I16" s="432">
        <v>0</v>
      </c>
      <c r="J16" s="340">
        <v>0</v>
      </c>
      <c r="K16" s="356"/>
      <c r="L16" s="488"/>
    </row>
    <row r="17" spans="1:12" ht="16.5" customHeight="1" x14ac:dyDescent="0.2">
      <c r="A17" s="18">
        <v>6</v>
      </c>
      <c r="B17" s="349" t="s">
        <v>895</v>
      </c>
      <c r="C17" s="366">
        <v>902</v>
      </c>
      <c r="D17" s="431">
        <v>616.96800000000007</v>
      </c>
      <c r="E17" s="9">
        <v>697</v>
      </c>
      <c r="F17" s="340">
        <v>512.47</v>
      </c>
      <c r="G17" s="366">
        <f t="shared" si="0"/>
        <v>205</v>
      </c>
      <c r="H17" s="340">
        <f t="shared" si="1"/>
        <v>104.49800000000005</v>
      </c>
      <c r="I17" s="432">
        <v>0</v>
      </c>
      <c r="J17" s="340">
        <v>0</v>
      </c>
      <c r="K17" s="356"/>
      <c r="L17" s="488"/>
    </row>
    <row r="18" spans="1:12" ht="16.5" customHeight="1" x14ac:dyDescent="0.2">
      <c r="A18" s="18">
        <v>7</v>
      </c>
      <c r="B18" s="349" t="s">
        <v>896</v>
      </c>
      <c r="C18" s="366">
        <v>2684</v>
      </c>
      <c r="D18" s="431">
        <v>1835.8560000000002</v>
      </c>
      <c r="E18" s="9">
        <v>2551</v>
      </c>
      <c r="F18" s="340">
        <v>1694.5</v>
      </c>
      <c r="G18" s="366">
        <f t="shared" si="0"/>
        <v>133</v>
      </c>
      <c r="H18" s="340">
        <f t="shared" si="1"/>
        <v>141.35600000000022</v>
      </c>
      <c r="I18" s="432">
        <v>0</v>
      </c>
      <c r="J18" s="340">
        <v>0</v>
      </c>
      <c r="K18" s="356"/>
      <c r="L18" s="488"/>
    </row>
    <row r="19" spans="1:12" ht="16.5" customHeight="1" x14ac:dyDescent="0.2">
      <c r="A19" s="18">
        <v>8</v>
      </c>
      <c r="B19" s="349" t="s">
        <v>897</v>
      </c>
      <c r="C19" s="366">
        <v>944</v>
      </c>
      <c r="D19" s="431">
        <v>645.69600000000003</v>
      </c>
      <c r="E19" s="9">
        <v>944</v>
      </c>
      <c r="F19" s="340">
        <v>645.69600000000003</v>
      </c>
      <c r="G19" s="366">
        <f t="shared" si="0"/>
        <v>0</v>
      </c>
      <c r="H19" s="340">
        <f t="shared" si="1"/>
        <v>0</v>
      </c>
      <c r="I19" s="432">
        <v>0</v>
      </c>
      <c r="J19" s="340">
        <v>0</v>
      </c>
      <c r="K19" s="356"/>
      <c r="L19" s="488"/>
    </row>
    <row r="20" spans="1:12" ht="16.5" customHeight="1" x14ac:dyDescent="0.2">
      <c r="A20" s="18">
        <v>9</v>
      </c>
      <c r="B20" s="349" t="s">
        <v>898</v>
      </c>
      <c r="C20" s="366">
        <v>1407</v>
      </c>
      <c r="D20" s="431">
        <v>962.38800000000003</v>
      </c>
      <c r="E20" s="9">
        <v>1407</v>
      </c>
      <c r="F20" s="340">
        <v>962.38800000000003</v>
      </c>
      <c r="G20" s="366">
        <f t="shared" si="0"/>
        <v>0</v>
      </c>
      <c r="H20" s="340">
        <f t="shared" si="1"/>
        <v>0</v>
      </c>
      <c r="I20" s="432">
        <v>0</v>
      </c>
      <c r="J20" s="340">
        <v>0</v>
      </c>
      <c r="K20" s="356"/>
      <c r="L20" s="488"/>
    </row>
    <row r="21" spans="1:12" ht="16.5" customHeight="1" x14ac:dyDescent="0.2">
      <c r="A21" s="18">
        <v>10</v>
      </c>
      <c r="B21" s="349" t="s">
        <v>899</v>
      </c>
      <c r="C21" s="366">
        <v>1020</v>
      </c>
      <c r="D21" s="431">
        <v>697.68000000000006</v>
      </c>
      <c r="E21" s="9">
        <v>1016</v>
      </c>
      <c r="F21" s="340">
        <v>693.08</v>
      </c>
      <c r="G21" s="366">
        <f t="shared" si="0"/>
        <v>4</v>
      </c>
      <c r="H21" s="340">
        <f t="shared" si="1"/>
        <v>4.6000000000000227</v>
      </c>
      <c r="I21" s="432">
        <v>0</v>
      </c>
      <c r="J21" s="340">
        <v>0</v>
      </c>
      <c r="K21" s="356"/>
      <c r="L21" s="488"/>
    </row>
    <row r="22" spans="1:12" ht="16.5" customHeight="1" x14ac:dyDescent="0.2">
      <c r="A22" s="18">
        <v>11</v>
      </c>
      <c r="B22" s="349" t="s">
        <v>900</v>
      </c>
      <c r="C22" s="366">
        <v>1553</v>
      </c>
      <c r="D22" s="431">
        <v>1062.2520000000002</v>
      </c>
      <c r="E22" s="9">
        <v>1492</v>
      </c>
      <c r="F22" s="340">
        <v>1020.1520000000002</v>
      </c>
      <c r="G22" s="366">
        <f t="shared" si="0"/>
        <v>61</v>
      </c>
      <c r="H22" s="340">
        <f t="shared" si="1"/>
        <v>42.100000000000023</v>
      </c>
      <c r="I22" s="432">
        <v>0</v>
      </c>
      <c r="J22" s="340">
        <v>0</v>
      </c>
      <c r="K22" s="356"/>
      <c r="L22" s="488"/>
    </row>
    <row r="23" spans="1:12" ht="19.5" customHeight="1" x14ac:dyDescent="0.2">
      <c r="A23" s="18">
        <v>12</v>
      </c>
      <c r="B23" s="349" t="s">
        <v>901</v>
      </c>
      <c r="C23" s="366">
        <v>2441</v>
      </c>
      <c r="D23" s="433">
        <v>1669.6440000000002</v>
      </c>
      <c r="E23" s="391">
        <v>2306</v>
      </c>
      <c r="F23" s="340">
        <v>1504.87</v>
      </c>
      <c r="G23" s="366">
        <f t="shared" si="0"/>
        <v>135</v>
      </c>
      <c r="H23" s="340">
        <f t="shared" si="1"/>
        <v>164.77400000000034</v>
      </c>
      <c r="I23" s="432">
        <v>0</v>
      </c>
      <c r="J23" s="340">
        <v>0</v>
      </c>
      <c r="K23" s="356"/>
      <c r="L23" s="488"/>
    </row>
    <row r="24" spans="1:12" ht="16.5" customHeight="1" x14ac:dyDescent="0.2">
      <c r="A24" s="18">
        <v>13</v>
      </c>
      <c r="B24" s="349" t="s">
        <v>902</v>
      </c>
      <c r="C24" s="366">
        <v>2397</v>
      </c>
      <c r="D24" s="431">
        <v>1639.5480000000002</v>
      </c>
      <c r="E24" s="9">
        <v>2368</v>
      </c>
      <c r="F24" s="340">
        <v>1618.7480000000003</v>
      </c>
      <c r="G24" s="366">
        <f t="shared" si="0"/>
        <v>29</v>
      </c>
      <c r="H24" s="340">
        <f t="shared" si="1"/>
        <v>20.799999999999955</v>
      </c>
      <c r="I24" s="432">
        <v>0</v>
      </c>
      <c r="J24" s="340">
        <v>0</v>
      </c>
      <c r="K24" s="356"/>
      <c r="L24" s="488"/>
    </row>
    <row r="25" spans="1:12" ht="16.5" customHeight="1" x14ac:dyDescent="0.2">
      <c r="A25" s="18">
        <v>14</v>
      </c>
      <c r="B25" s="349" t="s">
        <v>903</v>
      </c>
      <c r="C25" s="366">
        <v>2264</v>
      </c>
      <c r="D25" s="431">
        <v>1548.576</v>
      </c>
      <c r="E25" s="9">
        <v>2123</v>
      </c>
      <c r="F25" s="340">
        <v>1397.4760000000001</v>
      </c>
      <c r="G25" s="366">
        <f t="shared" si="0"/>
        <v>141</v>
      </c>
      <c r="H25" s="340">
        <f>D25-F25</f>
        <v>151.09999999999991</v>
      </c>
      <c r="I25" s="432">
        <v>0</v>
      </c>
      <c r="J25" s="340">
        <v>0</v>
      </c>
      <c r="K25" s="356"/>
      <c r="L25" s="488"/>
    </row>
    <row r="26" spans="1:12" ht="16.5" customHeight="1" x14ac:dyDescent="0.2">
      <c r="A26" s="18">
        <v>15</v>
      </c>
      <c r="B26" s="349" t="s">
        <v>904</v>
      </c>
      <c r="C26" s="366">
        <v>1639</v>
      </c>
      <c r="D26" s="431">
        <v>1121.076</v>
      </c>
      <c r="E26" s="9">
        <v>1570</v>
      </c>
      <c r="F26" s="340">
        <v>1087.1400000000001</v>
      </c>
      <c r="G26" s="366">
        <f t="shared" si="0"/>
        <v>69</v>
      </c>
      <c r="H26" s="340">
        <f t="shared" si="1"/>
        <v>33.935999999999922</v>
      </c>
      <c r="I26" s="432">
        <v>0</v>
      </c>
      <c r="J26" s="340">
        <v>0</v>
      </c>
      <c r="K26" s="356"/>
      <c r="L26" s="488"/>
    </row>
    <row r="27" spans="1:12" ht="16.5" customHeight="1" x14ac:dyDescent="0.2">
      <c r="A27" s="18">
        <v>16</v>
      </c>
      <c r="B27" s="349" t="s">
        <v>905</v>
      </c>
      <c r="C27" s="366">
        <v>1995</v>
      </c>
      <c r="D27" s="431">
        <v>1364.5800000000002</v>
      </c>
      <c r="E27" s="9">
        <v>1962</v>
      </c>
      <c r="F27" s="340">
        <v>1348.32</v>
      </c>
      <c r="G27" s="366">
        <f t="shared" si="0"/>
        <v>33</v>
      </c>
      <c r="H27" s="340">
        <f t="shared" si="1"/>
        <v>16.260000000000218</v>
      </c>
      <c r="I27" s="432">
        <v>0</v>
      </c>
      <c r="J27" s="340">
        <v>0</v>
      </c>
      <c r="K27" s="356"/>
      <c r="L27" s="488"/>
    </row>
    <row r="28" spans="1:12" ht="16.5" customHeight="1" x14ac:dyDescent="0.2">
      <c r="A28" s="18">
        <v>17</v>
      </c>
      <c r="B28" s="349" t="s">
        <v>906</v>
      </c>
      <c r="C28" s="366">
        <v>2151</v>
      </c>
      <c r="D28" s="431">
        <v>1471.2840000000001</v>
      </c>
      <c r="E28" s="9">
        <v>2151</v>
      </c>
      <c r="F28" s="340">
        <v>1471.2840000000001</v>
      </c>
      <c r="G28" s="366">
        <f t="shared" si="0"/>
        <v>0</v>
      </c>
      <c r="H28" s="340">
        <f t="shared" si="1"/>
        <v>0</v>
      </c>
      <c r="I28" s="432">
        <v>0</v>
      </c>
      <c r="J28" s="340">
        <v>0</v>
      </c>
      <c r="K28" s="356"/>
      <c r="L28" s="488"/>
    </row>
    <row r="29" spans="1:12" ht="16.5" customHeight="1" x14ac:dyDescent="0.2">
      <c r="A29" s="18">
        <v>18</v>
      </c>
      <c r="B29" s="349" t="s">
        <v>907</v>
      </c>
      <c r="C29" s="366">
        <v>1449</v>
      </c>
      <c r="D29" s="431">
        <v>1058.1500000000001</v>
      </c>
      <c r="E29" s="9">
        <v>1426</v>
      </c>
      <c r="F29" s="340">
        <v>1046.45</v>
      </c>
      <c r="G29" s="366">
        <f t="shared" si="0"/>
        <v>23</v>
      </c>
      <c r="H29" s="340">
        <f t="shared" si="1"/>
        <v>11.700000000000045</v>
      </c>
      <c r="I29" s="432">
        <v>0</v>
      </c>
      <c r="J29" s="340">
        <v>0</v>
      </c>
      <c r="K29" s="356"/>
      <c r="L29" s="488"/>
    </row>
    <row r="30" spans="1:12" ht="16.5" customHeight="1" x14ac:dyDescent="0.2">
      <c r="A30" s="18">
        <v>19</v>
      </c>
      <c r="B30" s="349" t="s">
        <v>908</v>
      </c>
      <c r="C30" s="366">
        <v>1870</v>
      </c>
      <c r="D30" s="431">
        <v>1280.8499999999999</v>
      </c>
      <c r="E30" s="9">
        <v>1805</v>
      </c>
      <c r="F30" s="340">
        <v>1227.55</v>
      </c>
      <c r="G30" s="366">
        <f t="shared" si="0"/>
        <v>65</v>
      </c>
      <c r="H30" s="340">
        <f t="shared" si="1"/>
        <v>53.299999999999955</v>
      </c>
      <c r="I30" s="432">
        <v>0</v>
      </c>
      <c r="J30" s="340">
        <v>0</v>
      </c>
      <c r="K30" s="356"/>
      <c r="L30" s="488"/>
    </row>
    <row r="31" spans="1:12" ht="16.5" customHeight="1" x14ac:dyDescent="0.2">
      <c r="A31" s="18">
        <v>20</v>
      </c>
      <c r="B31" s="349" t="s">
        <v>909</v>
      </c>
      <c r="C31" s="366">
        <v>1027</v>
      </c>
      <c r="D31" s="431">
        <v>702.46800000000007</v>
      </c>
      <c r="E31" s="9">
        <v>1002</v>
      </c>
      <c r="F31" s="340">
        <v>680.16800000000012</v>
      </c>
      <c r="G31" s="366">
        <f t="shared" si="0"/>
        <v>25</v>
      </c>
      <c r="H31" s="340">
        <f t="shared" si="1"/>
        <v>22.299999999999955</v>
      </c>
      <c r="I31" s="432">
        <v>0</v>
      </c>
      <c r="J31" s="340">
        <v>0</v>
      </c>
      <c r="K31" s="356"/>
      <c r="L31" s="488"/>
    </row>
    <row r="32" spans="1:12" ht="16.5" customHeight="1" x14ac:dyDescent="0.2">
      <c r="A32" s="18">
        <v>21</v>
      </c>
      <c r="B32" s="349" t="s">
        <v>910</v>
      </c>
      <c r="C32" s="366">
        <v>600</v>
      </c>
      <c r="D32" s="431">
        <v>410.40000000000003</v>
      </c>
      <c r="E32" s="9">
        <v>536</v>
      </c>
      <c r="F32" s="340">
        <v>358</v>
      </c>
      <c r="G32" s="366">
        <f t="shared" si="0"/>
        <v>64</v>
      </c>
      <c r="H32" s="340">
        <f t="shared" si="1"/>
        <v>52.400000000000034</v>
      </c>
      <c r="I32" s="432">
        <v>0</v>
      </c>
      <c r="J32" s="340">
        <v>0</v>
      </c>
      <c r="K32" s="356"/>
      <c r="L32" s="488"/>
    </row>
    <row r="33" spans="1:16" ht="16.5" customHeight="1" x14ac:dyDescent="0.2">
      <c r="A33" s="18">
        <v>22</v>
      </c>
      <c r="B33" s="349" t="s">
        <v>911</v>
      </c>
      <c r="C33" s="366">
        <v>3032</v>
      </c>
      <c r="D33" s="431">
        <v>2073.8880000000004</v>
      </c>
      <c r="E33" s="9">
        <v>3018</v>
      </c>
      <c r="F33" s="340">
        <v>2070.44</v>
      </c>
      <c r="G33" s="366">
        <f t="shared" si="0"/>
        <v>14</v>
      </c>
      <c r="H33" s="340">
        <f t="shared" si="1"/>
        <v>3.4480000000003201</v>
      </c>
      <c r="I33" s="432">
        <v>0</v>
      </c>
      <c r="J33" s="340">
        <v>0</v>
      </c>
      <c r="K33" s="356"/>
      <c r="L33" s="488"/>
    </row>
    <row r="34" spans="1:16" ht="16.5" customHeight="1" x14ac:dyDescent="0.2">
      <c r="A34" s="18">
        <v>23</v>
      </c>
      <c r="B34" s="349" t="s">
        <v>912</v>
      </c>
      <c r="C34" s="366">
        <v>1350</v>
      </c>
      <c r="D34" s="433">
        <v>923.40000000000009</v>
      </c>
      <c r="E34" s="9">
        <v>1289</v>
      </c>
      <c r="F34" s="340">
        <v>914.3</v>
      </c>
      <c r="G34" s="366">
        <f t="shared" si="0"/>
        <v>61</v>
      </c>
      <c r="H34" s="340">
        <f t="shared" si="1"/>
        <v>9.1000000000001364</v>
      </c>
      <c r="I34" s="432">
        <v>0</v>
      </c>
      <c r="J34" s="340">
        <v>0</v>
      </c>
      <c r="K34" s="356"/>
      <c r="L34" s="488"/>
    </row>
    <row r="35" spans="1:16" ht="16.5" customHeight="1" x14ac:dyDescent="0.2">
      <c r="A35" s="18">
        <v>24</v>
      </c>
      <c r="B35" s="349" t="s">
        <v>913</v>
      </c>
      <c r="C35" s="366">
        <v>2732</v>
      </c>
      <c r="D35" s="431">
        <v>1868.6880000000001</v>
      </c>
      <c r="E35" s="9">
        <v>2692</v>
      </c>
      <c r="F35" s="340">
        <v>1845.4880000000001</v>
      </c>
      <c r="G35" s="366">
        <f t="shared" si="0"/>
        <v>40</v>
      </c>
      <c r="H35" s="340">
        <f t="shared" si="1"/>
        <v>23.200000000000045</v>
      </c>
      <c r="I35" s="432">
        <v>0</v>
      </c>
      <c r="J35" s="340">
        <v>0</v>
      </c>
      <c r="K35" s="356"/>
      <c r="L35" s="488"/>
    </row>
    <row r="36" spans="1:16" ht="16.5" customHeight="1" x14ac:dyDescent="0.2">
      <c r="A36" s="18">
        <v>25</v>
      </c>
      <c r="B36" s="349" t="s">
        <v>919</v>
      </c>
      <c r="C36" s="366">
        <v>2031</v>
      </c>
      <c r="D36" s="431">
        <v>1389.2040000000002</v>
      </c>
      <c r="E36" s="9">
        <v>1984</v>
      </c>
      <c r="F36" s="340">
        <v>1361.5039999999999</v>
      </c>
      <c r="G36" s="366">
        <f t="shared" si="0"/>
        <v>47</v>
      </c>
      <c r="H36" s="340">
        <f t="shared" si="1"/>
        <v>27.700000000000273</v>
      </c>
      <c r="I36" s="432">
        <v>0</v>
      </c>
      <c r="J36" s="340">
        <v>0</v>
      </c>
      <c r="K36" s="356"/>
      <c r="L36" s="488"/>
    </row>
    <row r="37" spans="1:16" s="12" customFormat="1" ht="16.5" customHeight="1" x14ac:dyDescent="0.2">
      <c r="A37" s="18">
        <v>26</v>
      </c>
      <c r="B37" s="349" t="s">
        <v>914</v>
      </c>
      <c r="C37" s="366">
        <v>863</v>
      </c>
      <c r="D37" s="431">
        <v>590.29200000000003</v>
      </c>
      <c r="E37" s="9">
        <v>725</v>
      </c>
      <c r="F37" s="340">
        <v>575.36</v>
      </c>
      <c r="G37" s="366">
        <f t="shared" si="0"/>
        <v>138</v>
      </c>
      <c r="H37" s="340">
        <f t="shared" si="1"/>
        <v>14.932000000000016</v>
      </c>
      <c r="I37" s="432">
        <v>0</v>
      </c>
      <c r="J37" s="340">
        <v>0</v>
      </c>
      <c r="K37" s="356"/>
      <c r="L37" s="488"/>
    </row>
    <row r="38" spans="1:16" s="12" customFormat="1" ht="16.5" customHeight="1" x14ac:dyDescent="0.2">
      <c r="A38" s="18">
        <v>27</v>
      </c>
      <c r="B38" s="349" t="s">
        <v>915</v>
      </c>
      <c r="C38" s="366">
        <v>2015</v>
      </c>
      <c r="D38" s="431">
        <v>1379.46</v>
      </c>
      <c r="E38" s="9">
        <v>1996</v>
      </c>
      <c r="F38" s="340">
        <v>1362.9600000000003</v>
      </c>
      <c r="G38" s="366">
        <f t="shared" si="0"/>
        <v>19</v>
      </c>
      <c r="H38" s="340">
        <f t="shared" si="1"/>
        <v>16.499999999999773</v>
      </c>
      <c r="I38" s="432">
        <v>0</v>
      </c>
      <c r="J38" s="340">
        <v>0</v>
      </c>
      <c r="K38" s="356"/>
      <c r="L38" s="488"/>
    </row>
    <row r="39" spans="1:16" s="12" customFormat="1" x14ac:dyDescent="0.2">
      <c r="A39" s="3" t="s">
        <v>18</v>
      </c>
      <c r="B39" s="9"/>
      <c r="C39" s="9">
        <f>SUM(C12:C38)</f>
        <v>47266</v>
      </c>
      <c r="D39" s="333">
        <f t="shared" ref="D39:K39" si="2">SUM(D12:D38)</f>
        <v>32399.948000000008</v>
      </c>
      <c r="E39" s="9">
        <f t="shared" si="2"/>
        <v>45646</v>
      </c>
      <c r="F39" s="9">
        <f t="shared" si="2"/>
        <v>31321.244000000002</v>
      </c>
      <c r="G39" s="9">
        <f t="shared" si="2"/>
        <v>1620</v>
      </c>
      <c r="H39" s="333">
        <f t="shared" si="2"/>
        <v>1078.7040000000015</v>
      </c>
      <c r="I39" s="9">
        <f t="shared" si="2"/>
        <v>0</v>
      </c>
      <c r="J39" s="9">
        <f t="shared" si="2"/>
        <v>0</v>
      </c>
      <c r="K39" s="9">
        <f t="shared" si="2"/>
        <v>0</v>
      </c>
    </row>
    <row r="40" spans="1:16" s="12" customFormat="1" x14ac:dyDescent="0.2">
      <c r="A40" s="10" t="s">
        <v>39</v>
      </c>
    </row>
    <row r="41" spans="1:16" s="12" customFormat="1" x14ac:dyDescent="0.2">
      <c r="A41" s="10"/>
    </row>
    <row r="42" spans="1:16" s="12" customFormat="1" x14ac:dyDescent="0.2">
      <c r="A42" s="10"/>
    </row>
    <row r="43" spans="1:16" s="12" customFormat="1" x14ac:dyDescent="0.2">
      <c r="A43" s="10"/>
    </row>
    <row r="44" spans="1:16" s="569" customFormat="1" ht="13.9" customHeight="1" x14ac:dyDescent="0.2">
      <c r="B44" s="563"/>
      <c r="C44" s="563"/>
      <c r="D44" s="563"/>
      <c r="E44" s="563"/>
      <c r="F44" s="563"/>
      <c r="G44" s="810" t="s">
        <v>13</v>
      </c>
      <c r="H44" s="810"/>
      <c r="I44" s="810"/>
      <c r="J44" s="810"/>
      <c r="K44" s="810"/>
      <c r="L44" s="563"/>
      <c r="M44" s="563"/>
      <c r="N44" s="563"/>
      <c r="O44" s="563"/>
      <c r="P44" s="563"/>
    </row>
    <row r="45" spans="1:16" s="569" customFormat="1" ht="13.15" customHeight="1" x14ac:dyDescent="0.2">
      <c r="A45" s="563"/>
      <c r="B45" s="563"/>
      <c r="C45" s="563"/>
      <c r="D45" s="563"/>
      <c r="E45" s="563"/>
      <c r="F45" s="563"/>
      <c r="G45" s="810" t="s">
        <v>14</v>
      </c>
      <c r="H45" s="810"/>
      <c r="I45" s="810"/>
      <c r="J45" s="810"/>
      <c r="K45" s="810"/>
      <c r="L45" s="563"/>
      <c r="M45" s="563"/>
      <c r="N45" s="563"/>
      <c r="O45" s="563"/>
      <c r="P45" s="563"/>
    </row>
    <row r="46" spans="1:16" s="569" customFormat="1" ht="13.15" customHeight="1" x14ac:dyDescent="0.2">
      <c r="A46" s="563"/>
      <c r="B46" s="563"/>
      <c r="C46" s="563"/>
      <c r="D46" s="563"/>
      <c r="E46" s="563"/>
      <c r="F46" s="563"/>
      <c r="G46" s="810" t="s">
        <v>918</v>
      </c>
      <c r="H46" s="810"/>
      <c r="I46" s="810"/>
      <c r="J46" s="810"/>
      <c r="K46" s="810"/>
      <c r="L46" s="563"/>
      <c r="M46" s="563"/>
      <c r="N46" s="563"/>
      <c r="O46" s="563"/>
      <c r="P46" s="563"/>
    </row>
    <row r="47" spans="1:16" s="569" customFormat="1" ht="15" x14ac:dyDescent="0.25">
      <c r="A47" s="492" t="s">
        <v>12</v>
      </c>
      <c r="B47" s="14"/>
      <c r="C47" s="14"/>
      <c r="D47" s="14"/>
      <c r="E47" s="14"/>
      <c r="F47" s="14"/>
      <c r="G47" s="657"/>
      <c r="H47" s="207" t="s">
        <v>82</v>
      </c>
      <c r="I47" s="207"/>
      <c r="J47" s="207"/>
      <c r="K47" s="207"/>
    </row>
    <row r="48" spans="1:16" s="15" customFormat="1" x14ac:dyDescent="0.2">
      <c r="A48" s="14"/>
    </row>
    <row r="49" spans="1:10" x14ac:dyDescent="0.2">
      <c r="A49" s="931"/>
      <c r="B49" s="931"/>
      <c r="C49" s="931"/>
      <c r="D49" s="931"/>
      <c r="E49" s="931"/>
      <c r="F49" s="931"/>
      <c r="G49" s="931"/>
      <c r="H49" s="931"/>
      <c r="I49" s="931"/>
      <c r="J49" s="931"/>
    </row>
    <row r="52" spans="1:10" ht="13.5" thickBot="1" x14ac:dyDescent="0.25"/>
    <row r="53" spans="1:10" ht="174" customHeight="1" thickTop="1" x14ac:dyDescent="0.2">
      <c r="A53" s="1007" t="s">
        <v>956</v>
      </c>
      <c r="B53" s="1007" t="s">
        <v>957</v>
      </c>
      <c r="C53" s="1007" t="s">
        <v>958</v>
      </c>
      <c r="D53" s="1007" t="s">
        <v>959</v>
      </c>
      <c r="E53" s="1007" t="s">
        <v>960</v>
      </c>
      <c r="F53" s="1007" t="s">
        <v>961</v>
      </c>
      <c r="G53" s="1007" t="s">
        <v>962</v>
      </c>
      <c r="H53" s="1007" t="s">
        <v>963</v>
      </c>
    </row>
    <row r="54" spans="1:10" ht="13.5" thickBot="1" x14ac:dyDescent="0.25">
      <c r="A54" s="1009"/>
      <c r="B54" s="1008"/>
      <c r="C54" s="1008"/>
      <c r="D54" s="1008"/>
      <c r="E54" s="1008"/>
      <c r="F54" s="1008"/>
      <c r="G54" s="1008"/>
      <c r="H54" s="1008"/>
    </row>
    <row r="55" spans="1:10" ht="20.25" thickTop="1" thickBot="1" x14ac:dyDescent="0.25">
      <c r="A55" s="449" t="s">
        <v>974</v>
      </c>
      <c r="B55" s="448">
        <v>1213</v>
      </c>
      <c r="C55" s="441">
        <v>1064</v>
      </c>
      <c r="D55" s="441">
        <v>104</v>
      </c>
      <c r="E55" s="441">
        <v>6</v>
      </c>
      <c r="F55" s="441">
        <v>19</v>
      </c>
      <c r="G55" s="441">
        <v>0</v>
      </c>
      <c r="H55" s="442">
        <v>20</v>
      </c>
      <c r="I55" s="447" t="s">
        <v>890</v>
      </c>
      <c r="J55">
        <f>E55+G55+H55</f>
        <v>26</v>
      </c>
    </row>
    <row r="56" spans="1:10" ht="19.5" thickBot="1" x14ac:dyDescent="0.25">
      <c r="A56" s="449" t="s">
        <v>976</v>
      </c>
      <c r="B56" s="448">
        <v>1816</v>
      </c>
      <c r="C56" s="441">
        <v>1393</v>
      </c>
      <c r="D56" s="441">
        <v>306</v>
      </c>
      <c r="E56" s="441">
        <v>35</v>
      </c>
      <c r="F56" s="441">
        <v>37</v>
      </c>
      <c r="G56" s="441">
        <v>8</v>
      </c>
      <c r="H56" s="442">
        <v>37</v>
      </c>
      <c r="I56" s="447" t="s">
        <v>891</v>
      </c>
      <c r="J56">
        <f t="shared" ref="J56:J81" si="3">E56+G56+H56</f>
        <v>80</v>
      </c>
    </row>
    <row r="57" spans="1:10" ht="19.5" thickBot="1" x14ac:dyDescent="0.25">
      <c r="A57" s="449" t="s">
        <v>977</v>
      </c>
      <c r="B57" s="448">
        <v>1897</v>
      </c>
      <c r="C57" s="441">
        <v>1656</v>
      </c>
      <c r="D57" s="441">
        <v>217</v>
      </c>
      <c r="E57" s="441">
        <v>5</v>
      </c>
      <c r="F57" s="441">
        <v>9</v>
      </c>
      <c r="G57" s="441">
        <v>2</v>
      </c>
      <c r="H57" s="442">
        <v>8</v>
      </c>
      <c r="I57" s="447" t="s">
        <v>892</v>
      </c>
      <c r="J57">
        <f t="shared" si="3"/>
        <v>15</v>
      </c>
    </row>
    <row r="58" spans="1:10" ht="19.5" thickBot="1" x14ac:dyDescent="0.25">
      <c r="A58" s="449" t="s">
        <v>975</v>
      </c>
      <c r="B58" s="448">
        <v>2104</v>
      </c>
      <c r="C58" s="441">
        <v>1492</v>
      </c>
      <c r="D58" s="441">
        <v>358</v>
      </c>
      <c r="E58" s="441">
        <v>22</v>
      </c>
      <c r="F58" s="441">
        <v>203</v>
      </c>
      <c r="G58" s="441">
        <v>4</v>
      </c>
      <c r="H58" s="442">
        <v>25</v>
      </c>
      <c r="I58" s="447" t="s">
        <v>893</v>
      </c>
      <c r="J58">
        <f t="shared" si="3"/>
        <v>51</v>
      </c>
    </row>
    <row r="59" spans="1:10" ht="19.5" thickBot="1" x14ac:dyDescent="0.25">
      <c r="A59" s="449" t="s">
        <v>978</v>
      </c>
      <c r="B59" s="448">
        <v>1126</v>
      </c>
      <c r="C59" s="441">
        <v>797</v>
      </c>
      <c r="D59" s="441">
        <v>179</v>
      </c>
      <c r="E59" s="441">
        <v>10</v>
      </c>
      <c r="F59" s="441">
        <v>115</v>
      </c>
      <c r="G59" s="441">
        <v>0</v>
      </c>
      <c r="H59" s="442">
        <v>25</v>
      </c>
      <c r="I59" s="447" t="s">
        <v>894</v>
      </c>
      <c r="J59">
        <f t="shared" si="3"/>
        <v>35</v>
      </c>
    </row>
    <row r="60" spans="1:10" ht="19.5" thickBot="1" x14ac:dyDescent="0.25">
      <c r="A60" s="449" t="s">
        <v>972</v>
      </c>
      <c r="B60" s="448">
        <v>830</v>
      </c>
      <c r="C60" s="441">
        <v>536</v>
      </c>
      <c r="D60" s="441">
        <v>64</v>
      </c>
      <c r="E60" s="441">
        <v>50</v>
      </c>
      <c r="F60" s="441">
        <v>5</v>
      </c>
      <c r="G60" s="441">
        <v>12</v>
      </c>
      <c r="H60" s="442">
        <v>163</v>
      </c>
      <c r="I60" s="447" t="s">
        <v>895</v>
      </c>
      <c r="J60">
        <f t="shared" si="3"/>
        <v>225</v>
      </c>
    </row>
    <row r="61" spans="1:10" ht="19.5" thickBot="1" x14ac:dyDescent="0.25">
      <c r="A61" s="449" t="s">
        <v>973</v>
      </c>
      <c r="B61" s="448">
        <v>2371</v>
      </c>
      <c r="C61" s="441">
        <v>1184</v>
      </c>
      <c r="D61" s="441">
        <v>884</v>
      </c>
      <c r="E61" s="441">
        <v>246</v>
      </c>
      <c r="F61" s="441">
        <v>57</v>
      </c>
      <c r="G61" s="441">
        <v>0</v>
      </c>
      <c r="H61" s="442">
        <v>0</v>
      </c>
      <c r="I61" s="447" t="s">
        <v>896</v>
      </c>
      <c r="J61">
        <f t="shared" si="3"/>
        <v>246</v>
      </c>
    </row>
    <row r="62" spans="1:10" ht="19.5" thickBot="1" x14ac:dyDescent="0.25">
      <c r="A62" s="449" t="s">
        <v>982</v>
      </c>
      <c r="B62" s="448">
        <v>787</v>
      </c>
      <c r="C62" s="441">
        <v>632</v>
      </c>
      <c r="D62" s="441">
        <v>100</v>
      </c>
      <c r="E62" s="441">
        <v>27</v>
      </c>
      <c r="F62" s="441">
        <v>21</v>
      </c>
      <c r="G62" s="441">
        <v>2</v>
      </c>
      <c r="H62" s="442">
        <v>5</v>
      </c>
      <c r="I62" s="447" t="s">
        <v>897</v>
      </c>
      <c r="J62">
        <f t="shared" si="3"/>
        <v>34</v>
      </c>
    </row>
    <row r="63" spans="1:10" ht="19.5" thickBot="1" x14ac:dyDescent="0.25">
      <c r="A63" s="449" t="s">
        <v>980</v>
      </c>
      <c r="B63" s="448">
        <v>1267</v>
      </c>
      <c r="C63" s="441">
        <v>1053</v>
      </c>
      <c r="D63" s="441">
        <v>178</v>
      </c>
      <c r="E63" s="441">
        <v>0</v>
      </c>
      <c r="F63" s="441">
        <v>30</v>
      </c>
      <c r="G63" s="441">
        <v>5</v>
      </c>
      <c r="H63" s="442">
        <v>0</v>
      </c>
      <c r="I63" s="447" t="s">
        <v>920</v>
      </c>
      <c r="J63">
        <f t="shared" si="3"/>
        <v>5</v>
      </c>
    </row>
    <row r="64" spans="1:10" ht="19.5" thickBot="1" x14ac:dyDescent="0.25">
      <c r="A64" s="449" t="s">
        <v>981</v>
      </c>
      <c r="B64" s="448">
        <v>772</v>
      </c>
      <c r="C64" s="441">
        <v>664</v>
      </c>
      <c r="D64" s="441">
        <v>86</v>
      </c>
      <c r="E64" s="441">
        <v>1</v>
      </c>
      <c r="F64" s="441">
        <v>17</v>
      </c>
      <c r="G64" s="441">
        <v>4</v>
      </c>
      <c r="H64" s="442">
        <v>0</v>
      </c>
      <c r="I64" s="447" t="s">
        <v>899</v>
      </c>
      <c r="J64">
        <f t="shared" si="3"/>
        <v>5</v>
      </c>
    </row>
    <row r="65" spans="1:10" ht="19.5" thickBot="1" x14ac:dyDescent="0.25">
      <c r="A65" s="449" t="s">
        <v>985</v>
      </c>
      <c r="B65" s="448">
        <v>1398</v>
      </c>
      <c r="C65" s="441">
        <v>1227</v>
      </c>
      <c r="D65" s="441">
        <v>48</v>
      </c>
      <c r="E65" s="441">
        <v>77</v>
      </c>
      <c r="F65" s="441">
        <v>36</v>
      </c>
      <c r="G65" s="441">
        <v>0</v>
      </c>
      <c r="H65" s="442">
        <v>10</v>
      </c>
      <c r="I65" s="447" t="s">
        <v>900</v>
      </c>
      <c r="J65">
        <f t="shared" si="3"/>
        <v>87</v>
      </c>
    </row>
    <row r="66" spans="1:10" ht="19.5" thickBot="1" x14ac:dyDescent="0.25">
      <c r="A66" s="449" t="s">
        <v>983</v>
      </c>
      <c r="B66" s="448">
        <v>2301</v>
      </c>
      <c r="C66" s="441">
        <v>1629</v>
      </c>
      <c r="D66" s="441">
        <v>300</v>
      </c>
      <c r="E66" s="441">
        <v>23</v>
      </c>
      <c r="F66" s="441">
        <v>52</v>
      </c>
      <c r="G66" s="441">
        <v>0</v>
      </c>
      <c r="H66" s="442">
        <v>297</v>
      </c>
      <c r="I66" s="447" t="s">
        <v>901</v>
      </c>
      <c r="J66">
        <f t="shared" si="3"/>
        <v>320</v>
      </c>
    </row>
    <row r="67" spans="1:10" ht="19.5" thickBot="1" x14ac:dyDescent="0.25">
      <c r="A67" s="449" t="s">
        <v>984</v>
      </c>
      <c r="B67" s="448">
        <v>2209</v>
      </c>
      <c r="C67" s="441">
        <v>1794</v>
      </c>
      <c r="D67" s="441">
        <v>195</v>
      </c>
      <c r="E67" s="441">
        <v>45</v>
      </c>
      <c r="F67" s="441">
        <v>102</v>
      </c>
      <c r="G67" s="441">
        <v>21</v>
      </c>
      <c r="H67" s="442">
        <v>52</v>
      </c>
      <c r="I67" s="447" t="s">
        <v>902</v>
      </c>
      <c r="J67">
        <f t="shared" si="3"/>
        <v>118</v>
      </c>
    </row>
    <row r="68" spans="1:10" ht="19.5" thickBot="1" x14ac:dyDescent="0.25">
      <c r="A68" s="449" t="s">
        <v>989</v>
      </c>
      <c r="B68" s="448">
        <v>2130</v>
      </c>
      <c r="C68" s="441">
        <v>1842</v>
      </c>
      <c r="D68" s="441">
        <v>144</v>
      </c>
      <c r="E68" s="441">
        <v>121</v>
      </c>
      <c r="F68" s="441">
        <v>9</v>
      </c>
      <c r="G68" s="441">
        <v>1</v>
      </c>
      <c r="H68" s="442">
        <v>13</v>
      </c>
      <c r="I68" s="447" t="s">
        <v>903</v>
      </c>
      <c r="J68">
        <f t="shared" si="3"/>
        <v>135</v>
      </c>
    </row>
    <row r="69" spans="1:10" ht="19.5" thickBot="1" x14ac:dyDescent="0.25">
      <c r="A69" s="449" t="s">
        <v>990</v>
      </c>
      <c r="B69" s="448">
        <v>1450</v>
      </c>
      <c r="C69" s="441">
        <v>1202</v>
      </c>
      <c r="D69" s="441">
        <v>123</v>
      </c>
      <c r="E69" s="441">
        <v>52</v>
      </c>
      <c r="F69" s="441">
        <v>45</v>
      </c>
      <c r="G69" s="441">
        <v>0</v>
      </c>
      <c r="H69" s="442">
        <v>28</v>
      </c>
      <c r="I69" s="447" t="s">
        <v>904</v>
      </c>
      <c r="J69">
        <f t="shared" si="3"/>
        <v>80</v>
      </c>
    </row>
    <row r="70" spans="1:10" ht="19.5" thickBot="1" x14ac:dyDescent="0.25">
      <c r="A70" s="449" t="s">
        <v>988</v>
      </c>
      <c r="B70" s="448">
        <v>1781</v>
      </c>
      <c r="C70" s="441">
        <v>1639</v>
      </c>
      <c r="D70" s="441">
        <v>106</v>
      </c>
      <c r="E70" s="441">
        <v>13</v>
      </c>
      <c r="F70" s="441">
        <v>2</v>
      </c>
      <c r="G70" s="441">
        <v>3</v>
      </c>
      <c r="H70" s="442">
        <v>18</v>
      </c>
      <c r="I70" s="447" t="s">
        <v>905</v>
      </c>
      <c r="J70">
        <f t="shared" si="3"/>
        <v>34</v>
      </c>
    </row>
    <row r="71" spans="1:10" ht="19.5" thickBot="1" x14ac:dyDescent="0.25">
      <c r="A71" s="449" t="s">
        <v>987</v>
      </c>
      <c r="B71" s="448">
        <v>1948</v>
      </c>
      <c r="C71" s="441">
        <v>1657</v>
      </c>
      <c r="D71" s="441">
        <v>259</v>
      </c>
      <c r="E71" s="441">
        <v>3</v>
      </c>
      <c r="F71" s="441">
        <v>25</v>
      </c>
      <c r="G71" s="441">
        <v>0</v>
      </c>
      <c r="H71" s="442">
        <v>4</v>
      </c>
      <c r="I71" s="447" t="s">
        <v>906</v>
      </c>
      <c r="J71">
        <f t="shared" si="3"/>
        <v>7</v>
      </c>
    </row>
    <row r="72" spans="1:10" ht="19.5" thickBot="1" x14ac:dyDescent="0.25">
      <c r="A72" s="449" t="s">
        <v>986</v>
      </c>
      <c r="B72" s="448">
        <v>1351</v>
      </c>
      <c r="C72" s="441">
        <v>1197</v>
      </c>
      <c r="D72" s="441">
        <v>112</v>
      </c>
      <c r="E72" s="441">
        <v>9</v>
      </c>
      <c r="F72" s="441">
        <v>15</v>
      </c>
      <c r="G72" s="441">
        <v>0</v>
      </c>
      <c r="H72" s="442">
        <v>18</v>
      </c>
      <c r="I72" s="447" t="s">
        <v>907</v>
      </c>
      <c r="J72">
        <f t="shared" si="3"/>
        <v>27</v>
      </c>
    </row>
    <row r="73" spans="1:10" ht="19.5" thickBot="1" x14ac:dyDescent="0.25">
      <c r="A73" s="449" t="s">
        <v>970</v>
      </c>
      <c r="B73" s="448">
        <v>1765</v>
      </c>
      <c r="C73" s="441">
        <v>1567</v>
      </c>
      <c r="D73" s="441">
        <v>14</v>
      </c>
      <c r="E73" s="441">
        <v>60</v>
      </c>
      <c r="F73" s="441">
        <v>15</v>
      </c>
      <c r="G73" s="441">
        <v>0</v>
      </c>
      <c r="H73" s="442">
        <v>109</v>
      </c>
      <c r="I73" s="447" t="s">
        <v>908</v>
      </c>
      <c r="J73">
        <f t="shared" si="3"/>
        <v>169</v>
      </c>
    </row>
    <row r="74" spans="1:10" ht="19.5" thickBot="1" x14ac:dyDescent="0.25">
      <c r="A74" s="449" t="s">
        <v>971</v>
      </c>
      <c r="B74" s="448">
        <v>939</v>
      </c>
      <c r="C74" s="441">
        <v>626</v>
      </c>
      <c r="D74" s="441">
        <v>186</v>
      </c>
      <c r="E74" s="441">
        <v>3</v>
      </c>
      <c r="F74" s="441">
        <v>121</v>
      </c>
      <c r="G74" s="441">
        <v>3</v>
      </c>
      <c r="H74" s="442">
        <v>0</v>
      </c>
      <c r="I74" s="447" t="s">
        <v>909</v>
      </c>
      <c r="J74">
        <f t="shared" si="3"/>
        <v>6</v>
      </c>
    </row>
    <row r="75" spans="1:10" ht="19.5" thickBot="1" x14ac:dyDescent="0.25">
      <c r="A75" s="449" t="s">
        <v>979</v>
      </c>
      <c r="B75" s="448">
        <v>545</v>
      </c>
      <c r="C75" s="441">
        <v>441</v>
      </c>
      <c r="D75" s="441">
        <v>14</v>
      </c>
      <c r="E75" s="441">
        <v>53</v>
      </c>
      <c r="F75" s="441">
        <v>1</v>
      </c>
      <c r="G75" s="441">
        <v>10</v>
      </c>
      <c r="H75" s="442">
        <v>26</v>
      </c>
      <c r="I75" s="447" t="s">
        <v>910</v>
      </c>
      <c r="J75">
        <f t="shared" si="3"/>
        <v>89</v>
      </c>
    </row>
    <row r="76" spans="1:10" ht="19.5" thickBot="1" x14ac:dyDescent="0.25">
      <c r="A76" s="449" t="s">
        <v>968</v>
      </c>
      <c r="B76" s="448">
        <v>2863</v>
      </c>
      <c r="C76" s="441">
        <v>2187</v>
      </c>
      <c r="D76" s="441">
        <v>481</v>
      </c>
      <c r="E76" s="441">
        <v>27</v>
      </c>
      <c r="F76" s="441">
        <v>87</v>
      </c>
      <c r="G76" s="441">
        <v>0</v>
      </c>
      <c r="H76" s="442">
        <v>81</v>
      </c>
      <c r="I76" s="447" t="s">
        <v>911</v>
      </c>
      <c r="J76">
        <f t="shared" si="3"/>
        <v>108</v>
      </c>
    </row>
    <row r="77" spans="1:10" ht="19.5" thickBot="1" x14ac:dyDescent="0.25">
      <c r="A77" s="449" t="s">
        <v>967</v>
      </c>
      <c r="B77" s="448">
        <v>1044</v>
      </c>
      <c r="C77" s="441">
        <v>921</v>
      </c>
      <c r="D77" s="441">
        <v>37</v>
      </c>
      <c r="E77" s="441">
        <v>16</v>
      </c>
      <c r="F77" s="441">
        <v>69</v>
      </c>
      <c r="G77" s="441">
        <v>1</v>
      </c>
      <c r="H77" s="442">
        <v>0</v>
      </c>
      <c r="I77" s="447" t="s">
        <v>912</v>
      </c>
      <c r="J77">
        <f t="shared" si="3"/>
        <v>17</v>
      </c>
    </row>
    <row r="78" spans="1:10" ht="19.5" thickBot="1" x14ac:dyDescent="0.25">
      <c r="A78" s="449" t="s">
        <v>969</v>
      </c>
      <c r="B78" s="448">
        <v>2621</v>
      </c>
      <c r="C78" s="441">
        <v>2335</v>
      </c>
      <c r="D78" s="441">
        <v>155</v>
      </c>
      <c r="E78" s="441">
        <v>4</v>
      </c>
      <c r="F78" s="441">
        <v>96</v>
      </c>
      <c r="G78" s="441">
        <v>1</v>
      </c>
      <c r="H78" s="442">
        <v>30</v>
      </c>
      <c r="I78" s="447" t="s">
        <v>913</v>
      </c>
      <c r="J78">
        <f t="shared" si="3"/>
        <v>35</v>
      </c>
    </row>
    <row r="79" spans="1:10" ht="19.5" thickBot="1" x14ac:dyDescent="0.25">
      <c r="A79" s="449" t="s">
        <v>965</v>
      </c>
      <c r="B79" s="448">
        <v>1752</v>
      </c>
      <c r="C79" s="441">
        <v>1544</v>
      </c>
      <c r="D79" s="441">
        <v>140</v>
      </c>
      <c r="E79" s="441">
        <v>22</v>
      </c>
      <c r="F79" s="441">
        <v>10</v>
      </c>
      <c r="G79" s="441">
        <v>0</v>
      </c>
      <c r="H79" s="442">
        <v>36</v>
      </c>
      <c r="I79" s="447" t="s">
        <v>919</v>
      </c>
      <c r="J79">
        <f t="shared" si="3"/>
        <v>58</v>
      </c>
    </row>
    <row r="80" spans="1:10" ht="19.5" thickBot="1" x14ac:dyDescent="0.25">
      <c r="A80" s="449" t="s">
        <v>966</v>
      </c>
      <c r="B80" s="448">
        <v>867</v>
      </c>
      <c r="C80" s="441">
        <v>629</v>
      </c>
      <c r="D80" s="441">
        <v>26</v>
      </c>
      <c r="E80" s="441">
        <v>25</v>
      </c>
      <c r="F80" s="441">
        <v>186</v>
      </c>
      <c r="G80" s="441">
        <v>1</v>
      </c>
      <c r="H80" s="442">
        <v>0</v>
      </c>
      <c r="I80" s="447" t="s">
        <v>914</v>
      </c>
      <c r="J80">
        <f t="shared" si="3"/>
        <v>26</v>
      </c>
    </row>
    <row r="81" spans="1:10" ht="19.5" thickBot="1" x14ac:dyDescent="0.25">
      <c r="A81" s="449" t="s">
        <v>964</v>
      </c>
      <c r="B81" s="448">
        <v>1920</v>
      </c>
      <c r="C81" s="441">
        <v>1099</v>
      </c>
      <c r="D81" s="441">
        <v>577</v>
      </c>
      <c r="E81" s="441">
        <v>30</v>
      </c>
      <c r="F81" s="441">
        <v>185</v>
      </c>
      <c r="G81" s="441">
        <v>0</v>
      </c>
      <c r="H81" s="442">
        <v>29</v>
      </c>
      <c r="I81" s="446" t="s">
        <v>915</v>
      </c>
      <c r="J81">
        <f t="shared" si="3"/>
        <v>59</v>
      </c>
    </row>
    <row r="82" spans="1:10" ht="38.25" thickBot="1" x14ac:dyDescent="0.25">
      <c r="A82" s="443" t="s">
        <v>991</v>
      </c>
      <c r="B82" s="444">
        <v>43067</v>
      </c>
      <c r="C82" s="444">
        <v>34007</v>
      </c>
      <c r="D82" s="444">
        <v>5393</v>
      </c>
      <c r="E82" s="444">
        <v>985</v>
      </c>
      <c r="F82" s="444">
        <v>1569</v>
      </c>
      <c r="G82" s="444">
        <v>78</v>
      </c>
      <c r="H82" s="445">
        <v>1034</v>
      </c>
    </row>
    <row r="83" spans="1:10" ht="13.5" thickTop="1" x14ac:dyDescent="0.2"/>
  </sheetData>
  <mergeCells count="27">
    <mergeCell ref="G46:K46"/>
    <mergeCell ref="G53:G54"/>
    <mergeCell ref="H53:H54"/>
    <mergeCell ref="K9:K10"/>
    <mergeCell ref="E7:H7"/>
    <mergeCell ref="I7:K7"/>
    <mergeCell ref="F53:F54"/>
    <mergeCell ref="A49:J49"/>
    <mergeCell ref="E9:F9"/>
    <mergeCell ref="C9:D9"/>
    <mergeCell ref="A53:A54"/>
    <mergeCell ref="B53:B54"/>
    <mergeCell ref="C53:C54"/>
    <mergeCell ref="D53:D54"/>
    <mergeCell ref="E53:E54"/>
    <mergeCell ref="G44:K44"/>
    <mergeCell ref="G45:K45"/>
    <mergeCell ref="A3:J3"/>
    <mergeCell ref="I1:J1"/>
    <mergeCell ref="G9:H9"/>
    <mergeCell ref="I9:J9"/>
    <mergeCell ref="D1:E1"/>
    <mergeCell ref="A9:A10"/>
    <mergeCell ref="A2:J2"/>
    <mergeCell ref="C8:J8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S48"/>
  <sheetViews>
    <sheetView zoomScaleSheetLayoutView="90" workbookViewId="0">
      <selection activeCell="L9" sqref="L9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870"/>
      <c r="E1" s="870"/>
      <c r="H1" s="43"/>
      <c r="J1" s="926" t="s">
        <v>67</v>
      </c>
      <c r="K1" s="926"/>
    </row>
    <row r="2" spans="1:19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18" x14ac:dyDescent="0.25">
      <c r="A3" s="944" t="s">
        <v>738</v>
      </c>
      <c r="B3" s="944"/>
      <c r="C3" s="944"/>
      <c r="D3" s="944"/>
      <c r="E3" s="944"/>
      <c r="F3" s="944"/>
      <c r="G3" s="944"/>
      <c r="H3" s="944"/>
      <c r="I3" s="944"/>
      <c r="J3" s="944"/>
    </row>
    <row r="4" spans="1:19" ht="10.5" customHeight="1" x14ac:dyDescent="0.2"/>
    <row r="5" spans="1:19" s="15" customFormat="1" ht="15.75" customHeight="1" x14ac:dyDescent="0.2">
      <c r="A5" s="1010" t="s">
        <v>434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</row>
    <row r="6" spans="1:19" s="15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 ht="15" x14ac:dyDescent="0.3">
      <c r="A7" s="197" t="s">
        <v>917</v>
      </c>
      <c r="B7" s="197" t="s">
        <v>916</v>
      </c>
      <c r="I7" s="964" t="s">
        <v>1187</v>
      </c>
      <c r="J7" s="964"/>
      <c r="K7" s="964"/>
    </row>
    <row r="8" spans="1:19" s="13" customFormat="1" ht="15.75" hidden="1" x14ac:dyDescent="0.25">
      <c r="C8" s="932" t="s">
        <v>15</v>
      </c>
      <c r="D8" s="932"/>
      <c r="E8" s="932"/>
      <c r="F8" s="932"/>
      <c r="G8" s="932"/>
      <c r="H8" s="932"/>
      <c r="I8" s="932"/>
      <c r="J8" s="932"/>
    </row>
    <row r="9" spans="1:19" ht="30" customHeight="1" x14ac:dyDescent="0.2">
      <c r="A9" s="929" t="s">
        <v>22</v>
      </c>
      <c r="B9" s="929" t="s">
        <v>35</v>
      </c>
      <c r="C9" s="828" t="s">
        <v>855</v>
      </c>
      <c r="D9" s="830"/>
      <c r="E9" s="828" t="s">
        <v>472</v>
      </c>
      <c r="F9" s="830"/>
      <c r="G9" s="828" t="s">
        <v>37</v>
      </c>
      <c r="H9" s="830"/>
      <c r="I9" s="824" t="s">
        <v>103</v>
      </c>
      <c r="J9" s="824"/>
      <c r="K9" s="929" t="s">
        <v>508</v>
      </c>
      <c r="R9" s="9"/>
      <c r="S9" s="12"/>
    </row>
    <row r="10" spans="1:19" s="14" customFormat="1" ht="46.5" customHeight="1" x14ac:dyDescent="0.2">
      <c r="A10" s="930"/>
      <c r="B10" s="930"/>
      <c r="C10" s="5" t="s">
        <v>38</v>
      </c>
      <c r="D10" s="5" t="s">
        <v>102</v>
      </c>
      <c r="E10" s="5" t="s">
        <v>38</v>
      </c>
      <c r="F10" s="5" t="s">
        <v>102</v>
      </c>
      <c r="G10" s="5" t="s">
        <v>38</v>
      </c>
      <c r="H10" s="5" t="s">
        <v>102</v>
      </c>
      <c r="I10" s="5" t="s">
        <v>132</v>
      </c>
      <c r="J10" s="5" t="s">
        <v>133</v>
      </c>
      <c r="K10" s="930"/>
    </row>
    <row r="11" spans="1:19" x14ac:dyDescent="0.2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  <c r="I11" s="141">
        <v>9</v>
      </c>
      <c r="J11" s="141">
        <v>10</v>
      </c>
      <c r="K11" s="141">
        <v>11</v>
      </c>
    </row>
    <row r="12" spans="1:19" ht="15.75" x14ac:dyDescent="0.2">
      <c r="A12" s="8">
        <v>1</v>
      </c>
      <c r="B12" s="349" t="s">
        <v>890</v>
      </c>
      <c r="C12" s="345">
        <v>1671</v>
      </c>
      <c r="D12" s="339">
        <v>83.55</v>
      </c>
      <c r="E12" s="345">
        <v>1671</v>
      </c>
      <c r="F12" s="339">
        <v>83.55</v>
      </c>
      <c r="G12" s="345">
        <v>0</v>
      </c>
      <c r="H12" s="345">
        <v>0</v>
      </c>
      <c r="I12" s="345">
        <v>0</v>
      </c>
      <c r="J12" s="345">
        <v>0</v>
      </c>
      <c r="K12" s="345"/>
    </row>
    <row r="13" spans="1:19" ht="15.75" x14ac:dyDescent="0.2">
      <c r="A13" s="8">
        <v>2</v>
      </c>
      <c r="B13" s="349" t="s">
        <v>891</v>
      </c>
      <c r="C13" s="345">
        <v>2373</v>
      </c>
      <c r="D13" s="339">
        <v>118.65</v>
      </c>
      <c r="E13" s="345">
        <v>2373</v>
      </c>
      <c r="F13" s="339">
        <v>118.65</v>
      </c>
      <c r="G13" s="345">
        <v>0</v>
      </c>
      <c r="H13" s="345">
        <v>0</v>
      </c>
      <c r="I13" s="345">
        <v>0</v>
      </c>
      <c r="J13" s="345">
        <v>0</v>
      </c>
      <c r="K13" s="345"/>
    </row>
    <row r="14" spans="1:19" ht="15.75" x14ac:dyDescent="0.2">
      <c r="A14" s="8">
        <v>3</v>
      </c>
      <c r="B14" s="349" t="s">
        <v>892</v>
      </c>
      <c r="C14" s="345">
        <v>2603</v>
      </c>
      <c r="D14" s="339">
        <v>130.15</v>
      </c>
      <c r="E14" s="345">
        <v>2603</v>
      </c>
      <c r="F14" s="339">
        <v>130.15</v>
      </c>
      <c r="G14" s="345">
        <v>0</v>
      </c>
      <c r="H14" s="345">
        <v>0</v>
      </c>
      <c r="I14" s="345">
        <v>0</v>
      </c>
      <c r="J14" s="345">
        <v>0</v>
      </c>
      <c r="K14" s="345"/>
    </row>
    <row r="15" spans="1:19" ht="15.75" x14ac:dyDescent="0.2">
      <c r="A15" s="8">
        <v>4</v>
      </c>
      <c r="B15" s="349" t="s">
        <v>893</v>
      </c>
      <c r="C15" s="345">
        <v>3020</v>
      </c>
      <c r="D15" s="339">
        <v>151</v>
      </c>
      <c r="E15" s="345">
        <v>3020</v>
      </c>
      <c r="F15" s="339">
        <v>151</v>
      </c>
      <c r="G15" s="345">
        <v>0</v>
      </c>
      <c r="H15" s="345">
        <v>0</v>
      </c>
      <c r="I15" s="345">
        <v>0</v>
      </c>
      <c r="J15" s="345">
        <v>0</v>
      </c>
      <c r="K15" s="345"/>
    </row>
    <row r="16" spans="1:19" ht="15.75" x14ac:dyDescent="0.2">
      <c r="A16" s="8">
        <v>5</v>
      </c>
      <c r="B16" s="349" t="s">
        <v>894</v>
      </c>
      <c r="C16" s="345">
        <v>1458</v>
      </c>
      <c r="D16" s="339">
        <v>72.900000000000006</v>
      </c>
      <c r="E16" s="345">
        <v>1458</v>
      </c>
      <c r="F16" s="339">
        <v>72.900000000000006</v>
      </c>
      <c r="G16" s="345">
        <v>0</v>
      </c>
      <c r="H16" s="345">
        <v>0</v>
      </c>
      <c r="I16" s="345">
        <v>0</v>
      </c>
      <c r="J16" s="345">
        <v>0</v>
      </c>
      <c r="K16" s="345"/>
    </row>
    <row r="17" spans="1:11" ht="15.75" x14ac:dyDescent="0.2">
      <c r="A17" s="8">
        <v>6</v>
      </c>
      <c r="B17" s="349" t="s">
        <v>895</v>
      </c>
      <c r="C17" s="345">
        <v>1123</v>
      </c>
      <c r="D17" s="339">
        <v>56.15</v>
      </c>
      <c r="E17" s="345">
        <v>1123</v>
      </c>
      <c r="F17" s="339">
        <v>56.15</v>
      </c>
      <c r="G17" s="345">
        <v>0</v>
      </c>
      <c r="H17" s="345">
        <v>0</v>
      </c>
      <c r="I17" s="345">
        <v>0</v>
      </c>
      <c r="J17" s="345">
        <v>0</v>
      </c>
      <c r="K17" s="345"/>
    </row>
    <row r="18" spans="1:11" ht="15.75" x14ac:dyDescent="0.2">
      <c r="A18" s="8">
        <v>7</v>
      </c>
      <c r="B18" s="349" t="s">
        <v>896</v>
      </c>
      <c r="C18" s="345">
        <v>3365</v>
      </c>
      <c r="D18" s="339">
        <v>168.25</v>
      </c>
      <c r="E18" s="345">
        <v>3365</v>
      </c>
      <c r="F18" s="339">
        <v>168.25</v>
      </c>
      <c r="G18" s="345">
        <v>0</v>
      </c>
      <c r="H18" s="345">
        <v>0</v>
      </c>
      <c r="I18" s="345">
        <v>0</v>
      </c>
      <c r="J18" s="345">
        <v>0</v>
      </c>
      <c r="K18" s="345"/>
    </row>
    <row r="19" spans="1:11" ht="15.75" x14ac:dyDescent="0.2">
      <c r="A19" s="8">
        <v>8</v>
      </c>
      <c r="B19" s="349" t="s">
        <v>897</v>
      </c>
      <c r="C19" s="345">
        <v>1235</v>
      </c>
      <c r="D19" s="339">
        <v>61.75</v>
      </c>
      <c r="E19" s="345">
        <v>1235</v>
      </c>
      <c r="F19" s="339">
        <v>61.75</v>
      </c>
      <c r="G19" s="345">
        <v>0</v>
      </c>
      <c r="H19" s="345">
        <v>0</v>
      </c>
      <c r="I19" s="345">
        <v>0</v>
      </c>
      <c r="J19" s="345">
        <v>0</v>
      </c>
      <c r="K19" s="345"/>
    </row>
    <row r="20" spans="1:11" ht="15.75" x14ac:dyDescent="0.2">
      <c r="A20" s="8">
        <v>9</v>
      </c>
      <c r="B20" s="349" t="s">
        <v>898</v>
      </c>
      <c r="C20" s="345">
        <v>1749</v>
      </c>
      <c r="D20" s="339">
        <v>87.45</v>
      </c>
      <c r="E20" s="345">
        <v>1749</v>
      </c>
      <c r="F20" s="339">
        <v>87.45</v>
      </c>
      <c r="G20" s="345">
        <v>0</v>
      </c>
      <c r="H20" s="345">
        <v>0</v>
      </c>
      <c r="I20" s="345">
        <v>0</v>
      </c>
      <c r="J20" s="345">
        <v>0</v>
      </c>
      <c r="K20" s="345"/>
    </row>
    <row r="21" spans="1:11" ht="15.75" x14ac:dyDescent="0.2">
      <c r="A21" s="8">
        <v>10</v>
      </c>
      <c r="B21" s="349" t="s">
        <v>899</v>
      </c>
      <c r="C21" s="345">
        <v>1267</v>
      </c>
      <c r="D21" s="339">
        <v>63.35</v>
      </c>
      <c r="E21" s="345">
        <v>1267</v>
      </c>
      <c r="F21" s="339">
        <v>63.35</v>
      </c>
      <c r="G21" s="345">
        <v>0</v>
      </c>
      <c r="H21" s="345">
        <v>0</v>
      </c>
      <c r="I21" s="345">
        <v>0</v>
      </c>
      <c r="J21" s="345">
        <v>0</v>
      </c>
      <c r="K21" s="345"/>
    </row>
    <row r="22" spans="1:11" ht="15.75" x14ac:dyDescent="0.2">
      <c r="A22" s="8">
        <v>11</v>
      </c>
      <c r="B22" s="349" t="s">
        <v>900</v>
      </c>
      <c r="C22" s="345">
        <v>1940</v>
      </c>
      <c r="D22" s="339">
        <v>97</v>
      </c>
      <c r="E22" s="345">
        <v>1940</v>
      </c>
      <c r="F22" s="339">
        <v>97</v>
      </c>
      <c r="G22" s="345">
        <v>0</v>
      </c>
      <c r="H22" s="345">
        <v>0</v>
      </c>
      <c r="I22" s="345">
        <v>0</v>
      </c>
      <c r="J22" s="345">
        <v>0</v>
      </c>
      <c r="K22" s="345"/>
    </row>
    <row r="23" spans="1:11" ht="15.75" x14ac:dyDescent="0.2">
      <c r="A23" s="8">
        <v>12</v>
      </c>
      <c r="B23" s="349" t="s">
        <v>901</v>
      </c>
      <c r="C23" s="345">
        <v>3050</v>
      </c>
      <c r="D23" s="339">
        <v>152.5</v>
      </c>
      <c r="E23" s="345">
        <v>3050</v>
      </c>
      <c r="F23" s="339">
        <v>152.5</v>
      </c>
      <c r="G23" s="345">
        <v>0</v>
      </c>
      <c r="H23" s="345">
        <v>0</v>
      </c>
      <c r="I23" s="345">
        <v>0</v>
      </c>
      <c r="J23" s="345">
        <v>0</v>
      </c>
      <c r="K23" s="345"/>
    </row>
    <row r="24" spans="1:11" ht="15.75" x14ac:dyDescent="0.2">
      <c r="A24" s="8">
        <v>13</v>
      </c>
      <c r="B24" s="349" t="s">
        <v>902</v>
      </c>
      <c r="C24" s="345">
        <v>2991</v>
      </c>
      <c r="D24" s="339">
        <v>149.55000000000001</v>
      </c>
      <c r="E24" s="345">
        <v>2991</v>
      </c>
      <c r="F24" s="339">
        <v>149.55000000000001</v>
      </c>
      <c r="G24" s="345">
        <v>0</v>
      </c>
      <c r="H24" s="345">
        <v>0</v>
      </c>
      <c r="I24" s="345">
        <v>0</v>
      </c>
      <c r="J24" s="345">
        <v>0</v>
      </c>
      <c r="K24" s="345"/>
    </row>
    <row r="25" spans="1:11" ht="15.75" x14ac:dyDescent="0.2">
      <c r="A25" s="8">
        <v>14</v>
      </c>
      <c r="B25" s="349" t="s">
        <v>903</v>
      </c>
      <c r="C25" s="345">
        <v>2813</v>
      </c>
      <c r="D25" s="339">
        <v>140.65</v>
      </c>
      <c r="E25" s="345">
        <v>2813</v>
      </c>
      <c r="F25" s="339">
        <v>140.65</v>
      </c>
      <c r="G25" s="345">
        <v>0</v>
      </c>
      <c r="H25" s="345">
        <v>0</v>
      </c>
      <c r="I25" s="345">
        <v>0</v>
      </c>
      <c r="J25" s="345">
        <v>0</v>
      </c>
      <c r="K25" s="345"/>
    </row>
    <row r="26" spans="1:11" ht="15.75" x14ac:dyDescent="0.2">
      <c r="A26" s="8">
        <v>15</v>
      </c>
      <c r="B26" s="349" t="s">
        <v>904</v>
      </c>
      <c r="C26" s="345">
        <v>2040</v>
      </c>
      <c r="D26" s="339">
        <v>102</v>
      </c>
      <c r="E26" s="345">
        <v>2040</v>
      </c>
      <c r="F26" s="339">
        <v>102</v>
      </c>
      <c r="G26" s="345">
        <v>0</v>
      </c>
      <c r="H26" s="345">
        <v>0</v>
      </c>
      <c r="I26" s="345">
        <v>0</v>
      </c>
      <c r="J26" s="345">
        <v>0</v>
      </c>
      <c r="K26" s="345"/>
    </row>
    <row r="27" spans="1:11" ht="15.75" x14ac:dyDescent="0.2">
      <c r="A27" s="8">
        <v>16</v>
      </c>
      <c r="B27" s="349" t="s">
        <v>905</v>
      </c>
      <c r="C27" s="345">
        <v>2488</v>
      </c>
      <c r="D27" s="339">
        <v>124.4</v>
      </c>
      <c r="E27" s="345">
        <v>2488</v>
      </c>
      <c r="F27" s="339">
        <v>124.4</v>
      </c>
      <c r="G27" s="345">
        <v>0</v>
      </c>
      <c r="H27" s="345">
        <v>0</v>
      </c>
      <c r="I27" s="345">
        <v>0</v>
      </c>
      <c r="J27" s="345">
        <v>0</v>
      </c>
      <c r="K27" s="345"/>
    </row>
    <row r="28" spans="1:11" ht="15.75" x14ac:dyDescent="0.2">
      <c r="A28" s="8">
        <v>17</v>
      </c>
      <c r="B28" s="349" t="s">
        <v>906</v>
      </c>
      <c r="C28" s="345">
        <v>2683</v>
      </c>
      <c r="D28" s="339">
        <v>134.15</v>
      </c>
      <c r="E28" s="345">
        <v>2683</v>
      </c>
      <c r="F28" s="339">
        <v>134.15</v>
      </c>
      <c r="G28" s="345">
        <v>0</v>
      </c>
      <c r="H28" s="345">
        <v>0</v>
      </c>
      <c r="I28" s="345">
        <v>0</v>
      </c>
      <c r="J28" s="345">
        <v>0</v>
      </c>
      <c r="K28" s="345"/>
    </row>
    <row r="29" spans="1:11" ht="15.75" x14ac:dyDescent="0.2">
      <c r="A29" s="8">
        <v>18</v>
      </c>
      <c r="B29" s="349" t="s">
        <v>907</v>
      </c>
      <c r="C29" s="345">
        <v>1807</v>
      </c>
      <c r="D29" s="339">
        <v>90.35</v>
      </c>
      <c r="E29" s="345">
        <v>1807</v>
      </c>
      <c r="F29" s="339">
        <v>90.35</v>
      </c>
      <c r="G29" s="345">
        <v>0</v>
      </c>
      <c r="H29" s="345">
        <v>0</v>
      </c>
      <c r="I29" s="345">
        <v>0</v>
      </c>
      <c r="J29" s="345">
        <v>0</v>
      </c>
      <c r="K29" s="345"/>
    </row>
    <row r="30" spans="1:11" ht="15.75" x14ac:dyDescent="0.2">
      <c r="A30" s="8">
        <v>19</v>
      </c>
      <c r="B30" s="349" t="s">
        <v>908</v>
      </c>
      <c r="C30" s="345">
        <v>2324</v>
      </c>
      <c r="D30" s="339">
        <v>116.2</v>
      </c>
      <c r="E30" s="345">
        <v>2324</v>
      </c>
      <c r="F30" s="339">
        <v>116.2</v>
      </c>
      <c r="G30" s="345">
        <v>0</v>
      </c>
      <c r="H30" s="345">
        <v>0</v>
      </c>
      <c r="I30" s="345">
        <v>0</v>
      </c>
      <c r="J30" s="345">
        <v>0</v>
      </c>
      <c r="K30" s="345"/>
    </row>
    <row r="31" spans="1:11" ht="15.75" x14ac:dyDescent="0.2">
      <c r="A31" s="8">
        <v>20</v>
      </c>
      <c r="B31" s="349" t="s">
        <v>909</v>
      </c>
      <c r="C31" s="345">
        <v>1284</v>
      </c>
      <c r="D31" s="339">
        <v>64.2</v>
      </c>
      <c r="E31" s="345">
        <v>1284</v>
      </c>
      <c r="F31" s="339">
        <v>64.2</v>
      </c>
      <c r="G31" s="345">
        <v>0</v>
      </c>
      <c r="H31" s="345">
        <v>0</v>
      </c>
      <c r="I31" s="345">
        <v>0</v>
      </c>
      <c r="J31" s="345">
        <v>0</v>
      </c>
      <c r="K31" s="345"/>
    </row>
    <row r="32" spans="1:11" ht="15.75" x14ac:dyDescent="0.2">
      <c r="A32" s="8">
        <v>21</v>
      </c>
      <c r="B32" s="349" t="s">
        <v>910</v>
      </c>
      <c r="C32" s="345">
        <v>756</v>
      </c>
      <c r="D32" s="339">
        <v>37.799999999999997</v>
      </c>
      <c r="E32" s="345">
        <v>756</v>
      </c>
      <c r="F32" s="339">
        <v>37.799999999999997</v>
      </c>
      <c r="G32" s="345">
        <v>0</v>
      </c>
      <c r="H32" s="345">
        <v>0</v>
      </c>
      <c r="I32" s="345">
        <v>0</v>
      </c>
      <c r="J32" s="345">
        <v>0</v>
      </c>
      <c r="K32" s="345"/>
    </row>
    <row r="33" spans="1:16" ht="15.75" x14ac:dyDescent="0.2">
      <c r="A33" s="8">
        <v>22</v>
      </c>
      <c r="B33" s="349" t="s">
        <v>911</v>
      </c>
      <c r="C33" s="345">
        <v>3790</v>
      </c>
      <c r="D33" s="339">
        <v>189.5</v>
      </c>
      <c r="E33" s="345">
        <v>3790</v>
      </c>
      <c r="F33" s="339">
        <v>189.5</v>
      </c>
      <c r="G33" s="345">
        <v>0</v>
      </c>
      <c r="H33" s="345">
        <v>0</v>
      </c>
      <c r="I33" s="345">
        <v>0</v>
      </c>
      <c r="J33" s="345">
        <v>0</v>
      </c>
      <c r="K33" s="345"/>
    </row>
    <row r="34" spans="1:16" ht="15.75" x14ac:dyDescent="0.2">
      <c r="A34" s="8">
        <v>23</v>
      </c>
      <c r="B34" s="349" t="s">
        <v>912</v>
      </c>
      <c r="C34" s="345">
        <v>1668</v>
      </c>
      <c r="D34" s="339">
        <v>83.4</v>
      </c>
      <c r="E34" s="345">
        <v>1668</v>
      </c>
      <c r="F34" s="339">
        <v>83.4</v>
      </c>
      <c r="G34" s="345">
        <v>0</v>
      </c>
      <c r="H34" s="345">
        <v>0</v>
      </c>
      <c r="I34" s="345">
        <v>0</v>
      </c>
      <c r="J34" s="345">
        <v>0</v>
      </c>
      <c r="K34" s="345"/>
    </row>
    <row r="35" spans="1:16" ht="15.75" x14ac:dyDescent="0.2">
      <c r="A35" s="8">
        <v>24</v>
      </c>
      <c r="B35" s="349" t="s">
        <v>913</v>
      </c>
      <c r="C35" s="345">
        <v>3430</v>
      </c>
      <c r="D35" s="339">
        <v>171.5</v>
      </c>
      <c r="E35" s="345">
        <v>3430</v>
      </c>
      <c r="F35" s="339">
        <v>171.5</v>
      </c>
      <c r="G35" s="345">
        <v>0</v>
      </c>
      <c r="H35" s="345">
        <v>0</v>
      </c>
      <c r="I35" s="345">
        <v>0</v>
      </c>
      <c r="J35" s="345">
        <v>0</v>
      </c>
      <c r="K35" s="345"/>
    </row>
    <row r="36" spans="1:16" ht="15.75" x14ac:dyDescent="0.2">
      <c r="A36" s="8">
        <v>25</v>
      </c>
      <c r="B36" s="349" t="s">
        <v>919</v>
      </c>
      <c r="C36" s="345">
        <v>2543</v>
      </c>
      <c r="D36" s="339">
        <v>127.15</v>
      </c>
      <c r="E36" s="345">
        <v>2543</v>
      </c>
      <c r="F36" s="339">
        <v>127.15</v>
      </c>
      <c r="G36" s="345">
        <v>0</v>
      </c>
      <c r="H36" s="345">
        <v>0</v>
      </c>
      <c r="I36" s="345">
        <v>0</v>
      </c>
      <c r="J36" s="345">
        <v>0</v>
      </c>
      <c r="K36" s="345"/>
    </row>
    <row r="37" spans="1:16" s="12" customFormat="1" ht="15.75" x14ac:dyDescent="0.2">
      <c r="A37" s="8">
        <v>26</v>
      </c>
      <c r="B37" s="349" t="s">
        <v>914</v>
      </c>
      <c r="C37" s="345">
        <v>1243</v>
      </c>
      <c r="D37" s="339">
        <v>62.15</v>
      </c>
      <c r="E37" s="345">
        <v>1243</v>
      </c>
      <c r="F37" s="339">
        <v>62.15</v>
      </c>
      <c r="G37" s="345">
        <v>0</v>
      </c>
      <c r="H37" s="345">
        <v>0</v>
      </c>
      <c r="I37" s="345">
        <v>0</v>
      </c>
      <c r="J37" s="345">
        <v>0</v>
      </c>
      <c r="K37" s="345"/>
    </row>
    <row r="38" spans="1:16" s="12" customFormat="1" ht="15.75" x14ac:dyDescent="0.2">
      <c r="A38" s="8">
        <v>27</v>
      </c>
      <c r="B38" s="349" t="s">
        <v>915</v>
      </c>
      <c r="C38" s="345">
        <v>2496</v>
      </c>
      <c r="D38" s="339">
        <v>124.8</v>
      </c>
      <c r="E38" s="345">
        <v>2496</v>
      </c>
      <c r="F38" s="339">
        <v>124.8</v>
      </c>
      <c r="G38" s="345">
        <v>0</v>
      </c>
      <c r="H38" s="345">
        <v>0</v>
      </c>
      <c r="I38" s="345">
        <v>0</v>
      </c>
      <c r="J38" s="345">
        <v>0</v>
      </c>
      <c r="K38" s="345"/>
    </row>
    <row r="39" spans="1:16" s="12" customFormat="1" x14ac:dyDescent="0.2">
      <c r="A39" s="3" t="s">
        <v>18</v>
      </c>
      <c r="B39" s="9"/>
      <c r="C39" s="345">
        <f>SUM(C12:C38)</f>
        <v>59210</v>
      </c>
      <c r="D39" s="339">
        <f t="shared" ref="D39:K39" si="0">SUM(D12:D38)</f>
        <v>2960.5000000000005</v>
      </c>
      <c r="E39" s="345">
        <f t="shared" si="0"/>
        <v>59210</v>
      </c>
      <c r="F39" s="339">
        <f t="shared" si="0"/>
        <v>2960.5000000000005</v>
      </c>
      <c r="G39" s="345">
        <f t="shared" si="0"/>
        <v>0</v>
      </c>
      <c r="H39" s="345">
        <f t="shared" si="0"/>
        <v>0</v>
      </c>
      <c r="I39" s="345">
        <f t="shared" si="0"/>
        <v>0</v>
      </c>
      <c r="J39" s="345">
        <f t="shared" si="0"/>
        <v>0</v>
      </c>
      <c r="K39" s="345">
        <f t="shared" si="0"/>
        <v>0</v>
      </c>
    </row>
    <row r="40" spans="1:16" s="12" customFormat="1" x14ac:dyDescent="0.2"/>
    <row r="41" spans="1:16" s="12" customFormat="1" x14ac:dyDescent="0.2">
      <c r="A41" s="10" t="s">
        <v>39</v>
      </c>
    </row>
    <row r="42" spans="1:16" ht="15.75" customHeight="1" x14ac:dyDescent="0.2">
      <c r="C42" s="1011"/>
      <c r="D42" s="1011"/>
      <c r="E42" s="1011"/>
      <c r="F42" s="1011"/>
    </row>
    <row r="43" spans="1:16" s="569" customFormat="1" ht="13.9" customHeight="1" x14ac:dyDescent="0.2">
      <c r="B43" s="563"/>
      <c r="C43" s="563"/>
      <c r="D43" s="563"/>
      <c r="E43" s="563"/>
      <c r="F43" s="563"/>
      <c r="G43" s="810" t="s">
        <v>13</v>
      </c>
      <c r="H43" s="810"/>
      <c r="I43" s="810"/>
      <c r="J43" s="810"/>
      <c r="K43" s="810"/>
      <c r="L43" s="563"/>
      <c r="M43" s="563"/>
      <c r="N43" s="563"/>
      <c r="O43" s="563"/>
      <c r="P43" s="563"/>
    </row>
    <row r="44" spans="1:16" s="569" customFormat="1" ht="13.15" customHeight="1" x14ac:dyDescent="0.2">
      <c r="A44" s="563"/>
      <c r="B44" s="563"/>
      <c r="C44" s="563"/>
      <c r="D44" s="563"/>
      <c r="E44" s="563"/>
      <c r="F44" s="563"/>
      <c r="G44" s="810" t="s">
        <v>14</v>
      </c>
      <c r="H44" s="810"/>
      <c r="I44" s="810"/>
      <c r="J44" s="810"/>
      <c r="K44" s="810"/>
      <c r="L44" s="563"/>
      <c r="M44" s="563"/>
      <c r="N44" s="563"/>
      <c r="O44" s="563"/>
      <c r="P44" s="563"/>
    </row>
    <row r="45" spans="1:16" s="569" customFormat="1" ht="13.15" customHeight="1" x14ac:dyDescent="0.2">
      <c r="A45" s="563"/>
      <c r="B45" s="563"/>
      <c r="C45" s="563"/>
      <c r="D45" s="563"/>
      <c r="E45" s="563"/>
      <c r="F45" s="563"/>
      <c r="G45" s="810" t="s">
        <v>918</v>
      </c>
      <c r="H45" s="810"/>
      <c r="I45" s="810"/>
      <c r="J45" s="810"/>
      <c r="K45" s="810"/>
      <c r="L45" s="563"/>
      <c r="M45" s="563"/>
      <c r="N45" s="563"/>
      <c r="O45" s="563"/>
      <c r="P45" s="563"/>
    </row>
    <row r="46" spans="1:16" s="569" customFormat="1" ht="15" x14ac:dyDescent="0.25">
      <c r="A46" s="492" t="s">
        <v>12</v>
      </c>
      <c r="B46" s="14"/>
      <c r="C46" s="14"/>
      <c r="D46" s="14"/>
      <c r="E46" s="14"/>
      <c r="F46" s="14"/>
      <c r="G46" s="657"/>
      <c r="H46" s="207" t="s">
        <v>82</v>
      </c>
      <c r="I46" s="207"/>
      <c r="J46" s="207"/>
      <c r="K46" s="207"/>
    </row>
    <row r="47" spans="1:16" s="15" customFormat="1" x14ac:dyDescent="0.2">
      <c r="A47" s="14"/>
    </row>
    <row r="48" spans="1:16" x14ac:dyDescent="0.2">
      <c r="A48" s="931"/>
      <c r="B48" s="931"/>
      <c r="C48" s="931"/>
      <c r="D48" s="931"/>
      <c r="E48" s="931"/>
      <c r="F48" s="931"/>
      <c r="G48" s="931"/>
      <c r="H48" s="931"/>
      <c r="I48" s="931"/>
      <c r="J48" s="931"/>
    </row>
  </sheetData>
  <mergeCells count="19">
    <mergeCell ref="G43:K43"/>
    <mergeCell ref="G44:K44"/>
    <mergeCell ref="G45:K45"/>
    <mergeCell ref="A48:J48"/>
    <mergeCell ref="C42:F42"/>
    <mergeCell ref="J1:K1"/>
    <mergeCell ref="I9:J9"/>
    <mergeCell ref="D1:E1"/>
    <mergeCell ref="A2:J2"/>
    <mergeCell ref="A3:J3"/>
    <mergeCell ref="C8:J8"/>
    <mergeCell ref="E9:F9"/>
    <mergeCell ref="G9:H9"/>
    <mergeCell ref="C9:D9"/>
    <mergeCell ref="B9:B10"/>
    <mergeCell ref="A9:A10"/>
    <mergeCell ref="A5:L5"/>
    <mergeCell ref="I7:K7"/>
    <mergeCell ref="K9:K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1:S48"/>
  <sheetViews>
    <sheetView topLeftCell="A4" zoomScaleSheetLayoutView="90" workbookViewId="0">
      <selection activeCell="M9" sqref="M9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870"/>
      <c r="E1" s="870"/>
      <c r="H1" s="43"/>
      <c r="J1" s="926" t="s">
        <v>473</v>
      </c>
      <c r="K1" s="926"/>
    </row>
    <row r="2" spans="1:19" ht="15" x14ac:dyDescent="0.2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18" x14ac:dyDescent="0.25">
      <c r="A3" s="944" t="s">
        <v>738</v>
      </c>
      <c r="B3" s="944"/>
      <c r="C3" s="944"/>
      <c r="D3" s="944"/>
      <c r="E3" s="944"/>
      <c r="F3" s="944"/>
      <c r="G3" s="944"/>
      <c r="H3" s="944"/>
      <c r="I3" s="944"/>
      <c r="J3" s="944"/>
    </row>
    <row r="4" spans="1:19" ht="10.5" customHeight="1" x14ac:dyDescent="0.2"/>
    <row r="5" spans="1:19" s="15" customFormat="1" ht="15.75" customHeight="1" x14ac:dyDescent="0.2">
      <c r="A5" s="1012" t="s">
        <v>483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</row>
    <row r="6" spans="1:19" s="15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 ht="15" x14ac:dyDescent="0.3">
      <c r="A7" s="197" t="s">
        <v>917</v>
      </c>
      <c r="B7" s="197" t="s">
        <v>916</v>
      </c>
      <c r="I7" s="964" t="s">
        <v>1188</v>
      </c>
      <c r="J7" s="964"/>
      <c r="K7" s="964"/>
    </row>
    <row r="8" spans="1:19" s="13" customFormat="1" ht="15.75" hidden="1" x14ac:dyDescent="0.25">
      <c r="C8" s="932" t="s">
        <v>15</v>
      </c>
      <c r="D8" s="932"/>
      <c r="E8" s="932"/>
      <c r="F8" s="932"/>
      <c r="G8" s="932"/>
      <c r="H8" s="932"/>
      <c r="I8" s="932"/>
      <c r="J8" s="932"/>
    </row>
    <row r="9" spans="1:19" ht="31.5" customHeight="1" x14ac:dyDescent="0.2">
      <c r="A9" s="929" t="s">
        <v>22</v>
      </c>
      <c r="B9" s="929" t="s">
        <v>35</v>
      </c>
      <c r="C9" s="828" t="s">
        <v>856</v>
      </c>
      <c r="D9" s="830"/>
      <c r="E9" s="828" t="s">
        <v>472</v>
      </c>
      <c r="F9" s="830"/>
      <c r="G9" s="828" t="s">
        <v>37</v>
      </c>
      <c r="H9" s="830"/>
      <c r="I9" s="824" t="s">
        <v>103</v>
      </c>
      <c r="J9" s="824"/>
      <c r="K9" s="929" t="s">
        <v>508</v>
      </c>
      <c r="R9" s="9"/>
      <c r="S9" s="12"/>
    </row>
    <row r="10" spans="1:19" s="14" customFormat="1" ht="51.75" customHeight="1" x14ac:dyDescent="0.2">
      <c r="A10" s="930"/>
      <c r="B10" s="930"/>
      <c r="C10" s="5" t="s">
        <v>38</v>
      </c>
      <c r="D10" s="5" t="s">
        <v>102</v>
      </c>
      <c r="E10" s="5" t="s">
        <v>38</v>
      </c>
      <c r="F10" s="5" t="s">
        <v>102</v>
      </c>
      <c r="G10" s="5" t="s">
        <v>38</v>
      </c>
      <c r="H10" s="5" t="s">
        <v>102</v>
      </c>
      <c r="I10" s="5" t="s">
        <v>132</v>
      </c>
      <c r="J10" s="5" t="s">
        <v>133</v>
      </c>
      <c r="K10" s="930"/>
    </row>
    <row r="11" spans="1:19" x14ac:dyDescent="0.2">
      <c r="A11" s="269">
        <v>1</v>
      </c>
      <c r="B11" s="269">
        <v>2</v>
      </c>
      <c r="C11" s="269">
        <v>3</v>
      </c>
      <c r="D11" s="269">
        <v>4</v>
      </c>
      <c r="E11" s="269">
        <v>5</v>
      </c>
      <c r="F11" s="269">
        <v>6</v>
      </c>
      <c r="G11" s="269">
        <v>7</v>
      </c>
      <c r="H11" s="269">
        <v>8</v>
      </c>
      <c r="I11" s="269">
        <v>9</v>
      </c>
      <c r="J11" s="269">
        <v>10</v>
      </c>
      <c r="K11" s="269">
        <v>11</v>
      </c>
    </row>
    <row r="12" spans="1:19" ht="15.75" x14ac:dyDescent="0.2">
      <c r="A12" s="8">
        <v>1</v>
      </c>
      <c r="B12" s="349" t="s">
        <v>890</v>
      </c>
      <c r="C12" s="9">
        <v>2148</v>
      </c>
      <c r="D12" s="339">
        <f t="shared" ref="D12:D38" si="0">C12*5000/100000</f>
        <v>107.4</v>
      </c>
      <c r="E12" s="9">
        <v>2148</v>
      </c>
      <c r="F12" s="431">
        <f t="shared" ref="F12:F38" si="1">E12*5000/100000</f>
        <v>107.4</v>
      </c>
      <c r="G12" s="9"/>
      <c r="H12" s="9"/>
      <c r="I12" s="434">
        <f t="shared" ref="I12:I38" si="2">C12-E12</f>
        <v>0</v>
      </c>
      <c r="J12" s="431">
        <f t="shared" ref="J12:J38" si="3">I12*5000/100000</f>
        <v>0</v>
      </c>
      <c r="K12" s="269"/>
    </row>
    <row r="13" spans="1:19" ht="15.75" x14ac:dyDescent="0.2">
      <c r="A13" s="8">
        <v>2</v>
      </c>
      <c r="B13" s="349" t="s">
        <v>891</v>
      </c>
      <c r="C13" s="9">
        <v>2846</v>
      </c>
      <c r="D13" s="339">
        <f t="shared" si="0"/>
        <v>142.30000000000001</v>
      </c>
      <c r="E13" s="9">
        <v>2846</v>
      </c>
      <c r="F13" s="431">
        <f t="shared" si="1"/>
        <v>142.30000000000001</v>
      </c>
      <c r="G13" s="9"/>
      <c r="H13" s="9"/>
      <c r="I13" s="434">
        <f t="shared" si="2"/>
        <v>0</v>
      </c>
      <c r="J13" s="431">
        <f t="shared" si="3"/>
        <v>0</v>
      </c>
      <c r="K13" s="269"/>
    </row>
    <row r="14" spans="1:19" ht="15.75" x14ac:dyDescent="0.2">
      <c r="A14" s="8">
        <v>3</v>
      </c>
      <c r="B14" s="349" t="s">
        <v>892</v>
      </c>
      <c r="C14" s="9">
        <v>3464</v>
      </c>
      <c r="D14" s="339">
        <f t="shared" si="0"/>
        <v>173.2</v>
      </c>
      <c r="E14" s="9">
        <v>3464</v>
      </c>
      <c r="F14" s="431">
        <f t="shared" si="1"/>
        <v>173.2</v>
      </c>
      <c r="G14" s="9"/>
      <c r="H14" s="9"/>
      <c r="I14" s="434">
        <f t="shared" si="2"/>
        <v>0</v>
      </c>
      <c r="J14" s="431">
        <f t="shared" si="3"/>
        <v>0</v>
      </c>
      <c r="K14" s="269"/>
    </row>
    <row r="15" spans="1:19" ht="15.75" x14ac:dyDescent="0.2">
      <c r="A15" s="8">
        <v>4</v>
      </c>
      <c r="B15" s="349" t="s">
        <v>893</v>
      </c>
      <c r="C15" s="9">
        <v>3670</v>
      </c>
      <c r="D15" s="339">
        <f t="shared" si="0"/>
        <v>183.5</v>
      </c>
      <c r="E15" s="9">
        <v>3670</v>
      </c>
      <c r="F15" s="431">
        <f t="shared" si="1"/>
        <v>183.5</v>
      </c>
      <c r="G15" s="9"/>
      <c r="H15" s="9"/>
      <c r="I15" s="434">
        <f t="shared" si="2"/>
        <v>0</v>
      </c>
      <c r="J15" s="431">
        <f t="shared" si="3"/>
        <v>0</v>
      </c>
      <c r="K15" s="269"/>
    </row>
    <row r="16" spans="1:19" ht="15.75" x14ac:dyDescent="0.2">
      <c r="A16" s="8">
        <v>5</v>
      </c>
      <c r="B16" s="349" t="s">
        <v>894</v>
      </c>
      <c r="C16" s="9">
        <v>1783</v>
      </c>
      <c r="D16" s="339">
        <f t="shared" si="0"/>
        <v>89.15</v>
      </c>
      <c r="E16" s="9">
        <v>1783</v>
      </c>
      <c r="F16" s="431">
        <f t="shared" si="1"/>
        <v>89.15</v>
      </c>
      <c r="G16" s="9"/>
      <c r="H16" s="9"/>
      <c r="I16" s="434">
        <f t="shared" si="2"/>
        <v>0</v>
      </c>
      <c r="J16" s="431">
        <f t="shared" si="3"/>
        <v>0</v>
      </c>
      <c r="K16" s="269"/>
    </row>
    <row r="17" spans="1:11" ht="15.75" x14ac:dyDescent="0.2">
      <c r="A17" s="8">
        <v>6</v>
      </c>
      <c r="B17" s="349" t="s">
        <v>895</v>
      </c>
      <c r="C17" s="9">
        <v>1582</v>
      </c>
      <c r="D17" s="339">
        <f t="shared" si="0"/>
        <v>79.099999999999994</v>
      </c>
      <c r="E17" s="9">
        <v>1582</v>
      </c>
      <c r="F17" s="431">
        <f t="shared" si="1"/>
        <v>79.099999999999994</v>
      </c>
      <c r="G17" s="9"/>
      <c r="H17" s="9"/>
      <c r="I17" s="434">
        <f t="shared" si="2"/>
        <v>0</v>
      </c>
      <c r="J17" s="431">
        <f t="shared" si="3"/>
        <v>0</v>
      </c>
      <c r="K17" s="269"/>
    </row>
    <row r="18" spans="1:11" ht="15.75" x14ac:dyDescent="0.2">
      <c r="A18" s="8">
        <v>7</v>
      </c>
      <c r="B18" s="349" t="s">
        <v>896</v>
      </c>
      <c r="C18" s="9">
        <v>3949</v>
      </c>
      <c r="D18" s="339">
        <f t="shared" si="0"/>
        <v>197.45</v>
      </c>
      <c r="E18" s="9">
        <v>3949</v>
      </c>
      <c r="F18" s="431">
        <f t="shared" si="1"/>
        <v>197.45</v>
      </c>
      <c r="G18" s="9"/>
      <c r="H18" s="9"/>
      <c r="I18" s="434">
        <f t="shared" si="2"/>
        <v>0</v>
      </c>
      <c r="J18" s="431">
        <f t="shared" si="3"/>
        <v>0</v>
      </c>
      <c r="K18" s="269"/>
    </row>
    <row r="19" spans="1:11" ht="15.75" x14ac:dyDescent="0.2">
      <c r="A19" s="8">
        <v>8</v>
      </c>
      <c r="B19" s="349" t="s">
        <v>897</v>
      </c>
      <c r="C19" s="9">
        <v>1628</v>
      </c>
      <c r="D19" s="339">
        <f t="shared" si="0"/>
        <v>81.400000000000006</v>
      </c>
      <c r="E19" s="9">
        <v>1628</v>
      </c>
      <c r="F19" s="431">
        <f t="shared" si="1"/>
        <v>81.400000000000006</v>
      </c>
      <c r="G19" s="9"/>
      <c r="H19" s="9"/>
      <c r="I19" s="434">
        <f t="shared" si="2"/>
        <v>0</v>
      </c>
      <c r="J19" s="431">
        <f t="shared" si="3"/>
        <v>0</v>
      </c>
      <c r="K19" s="269"/>
    </row>
    <row r="20" spans="1:11" ht="15.75" x14ac:dyDescent="0.2">
      <c r="A20" s="8">
        <v>9</v>
      </c>
      <c r="B20" s="349" t="s">
        <v>898</v>
      </c>
      <c r="C20" s="9">
        <v>2279</v>
      </c>
      <c r="D20" s="339">
        <f t="shared" si="0"/>
        <v>113.95</v>
      </c>
      <c r="E20" s="9">
        <v>2279</v>
      </c>
      <c r="F20" s="431">
        <f t="shared" si="1"/>
        <v>113.95</v>
      </c>
      <c r="G20" s="9"/>
      <c r="H20" s="9"/>
      <c r="I20" s="434">
        <f t="shared" si="2"/>
        <v>0</v>
      </c>
      <c r="J20" s="431">
        <f t="shared" si="3"/>
        <v>0</v>
      </c>
      <c r="K20" s="269"/>
    </row>
    <row r="21" spans="1:11" ht="15.75" x14ac:dyDescent="0.2">
      <c r="A21" s="8">
        <v>10</v>
      </c>
      <c r="B21" s="349" t="s">
        <v>899</v>
      </c>
      <c r="C21" s="9">
        <v>1516</v>
      </c>
      <c r="D21" s="339">
        <f t="shared" si="0"/>
        <v>75.8</v>
      </c>
      <c r="E21" s="9">
        <v>1516</v>
      </c>
      <c r="F21" s="431">
        <f t="shared" si="1"/>
        <v>75.8</v>
      </c>
      <c r="G21" s="9"/>
      <c r="H21" s="9"/>
      <c r="I21" s="434">
        <f t="shared" si="2"/>
        <v>0</v>
      </c>
      <c r="J21" s="431">
        <f t="shared" si="3"/>
        <v>0</v>
      </c>
      <c r="K21" s="269"/>
    </row>
    <row r="22" spans="1:11" ht="15.75" x14ac:dyDescent="0.2">
      <c r="A22" s="8">
        <v>11</v>
      </c>
      <c r="B22" s="349" t="s">
        <v>900</v>
      </c>
      <c r="C22" s="9">
        <v>2521</v>
      </c>
      <c r="D22" s="339">
        <f t="shared" si="0"/>
        <v>126.05</v>
      </c>
      <c r="E22" s="9">
        <v>2521</v>
      </c>
      <c r="F22" s="431">
        <f t="shared" si="1"/>
        <v>126.05</v>
      </c>
      <c r="G22" s="9"/>
      <c r="H22" s="9"/>
      <c r="I22" s="434">
        <f t="shared" si="2"/>
        <v>0</v>
      </c>
      <c r="J22" s="431">
        <f t="shared" si="3"/>
        <v>0</v>
      </c>
      <c r="K22" s="269"/>
    </row>
    <row r="23" spans="1:11" ht="15.75" x14ac:dyDescent="0.2">
      <c r="A23" s="8">
        <v>12</v>
      </c>
      <c r="B23" s="349" t="s">
        <v>901</v>
      </c>
      <c r="C23" s="9">
        <v>3693</v>
      </c>
      <c r="D23" s="339">
        <f t="shared" si="0"/>
        <v>184.65</v>
      </c>
      <c r="E23" s="9">
        <v>3693</v>
      </c>
      <c r="F23" s="431">
        <f t="shared" si="1"/>
        <v>184.65</v>
      </c>
      <c r="G23" s="9"/>
      <c r="H23" s="9"/>
      <c r="I23" s="434">
        <f t="shared" si="2"/>
        <v>0</v>
      </c>
      <c r="J23" s="431">
        <f t="shared" si="3"/>
        <v>0</v>
      </c>
      <c r="K23" s="8"/>
    </row>
    <row r="24" spans="1:11" ht="15.75" x14ac:dyDescent="0.2">
      <c r="A24" s="8">
        <v>13</v>
      </c>
      <c r="B24" s="349" t="s">
        <v>902</v>
      </c>
      <c r="C24" s="9">
        <v>4096</v>
      </c>
      <c r="D24" s="339">
        <f t="shared" si="0"/>
        <v>204.8</v>
      </c>
      <c r="E24" s="9">
        <v>4096</v>
      </c>
      <c r="F24" s="431">
        <f t="shared" si="1"/>
        <v>204.8</v>
      </c>
      <c r="G24" s="9"/>
      <c r="H24" s="9"/>
      <c r="I24" s="434">
        <f t="shared" si="2"/>
        <v>0</v>
      </c>
      <c r="J24" s="431">
        <f t="shared" si="3"/>
        <v>0</v>
      </c>
      <c r="K24" s="8"/>
    </row>
    <row r="25" spans="1:11" ht="15.75" x14ac:dyDescent="0.2">
      <c r="A25" s="8">
        <v>14</v>
      </c>
      <c r="B25" s="349" t="s">
        <v>903</v>
      </c>
      <c r="C25" s="9">
        <v>3851</v>
      </c>
      <c r="D25" s="339">
        <f t="shared" si="0"/>
        <v>192.55</v>
      </c>
      <c r="E25" s="9">
        <v>3851</v>
      </c>
      <c r="F25" s="431">
        <f t="shared" si="1"/>
        <v>192.55</v>
      </c>
      <c r="G25" s="9"/>
      <c r="H25" s="9"/>
      <c r="I25" s="434">
        <f t="shared" si="2"/>
        <v>0</v>
      </c>
      <c r="J25" s="431">
        <f t="shared" si="3"/>
        <v>0</v>
      </c>
      <c r="K25" s="8"/>
    </row>
    <row r="26" spans="1:11" ht="15.75" x14ac:dyDescent="0.2">
      <c r="A26" s="8">
        <v>15</v>
      </c>
      <c r="B26" s="349" t="s">
        <v>904</v>
      </c>
      <c r="C26" s="9">
        <v>2520</v>
      </c>
      <c r="D26" s="339">
        <f t="shared" si="0"/>
        <v>126</v>
      </c>
      <c r="E26" s="9">
        <v>2520</v>
      </c>
      <c r="F26" s="431">
        <f t="shared" si="1"/>
        <v>126</v>
      </c>
      <c r="G26" s="9"/>
      <c r="H26" s="9"/>
      <c r="I26" s="434">
        <f t="shared" si="2"/>
        <v>0</v>
      </c>
      <c r="J26" s="431">
        <f t="shared" si="3"/>
        <v>0</v>
      </c>
      <c r="K26" s="8"/>
    </row>
    <row r="27" spans="1:11" ht="15.75" x14ac:dyDescent="0.2">
      <c r="A27" s="8">
        <v>16</v>
      </c>
      <c r="B27" s="349" t="s">
        <v>905</v>
      </c>
      <c r="C27" s="9">
        <v>3218</v>
      </c>
      <c r="D27" s="339">
        <f t="shared" si="0"/>
        <v>160.9</v>
      </c>
      <c r="E27" s="9">
        <v>3218</v>
      </c>
      <c r="F27" s="431">
        <f t="shared" si="1"/>
        <v>160.9</v>
      </c>
      <c r="G27" s="9"/>
      <c r="H27" s="9"/>
      <c r="I27" s="434">
        <f t="shared" si="2"/>
        <v>0</v>
      </c>
      <c r="J27" s="431">
        <f t="shared" si="3"/>
        <v>0</v>
      </c>
      <c r="K27" s="8"/>
    </row>
    <row r="28" spans="1:11" ht="15.75" x14ac:dyDescent="0.2">
      <c r="A28" s="8">
        <v>17</v>
      </c>
      <c r="B28" s="349" t="s">
        <v>906</v>
      </c>
      <c r="C28" s="9">
        <v>3627</v>
      </c>
      <c r="D28" s="339">
        <f t="shared" si="0"/>
        <v>181.35</v>
      </c>
      <c r="E28" s="9">
        <v>3627</v>
      </c>
      <c r="F28" s="431">
        <f t="shared" si="1"/>
        <v>181.35</v>
      </c>
      <c r="G28" s="9"/>
      <c r="H28" s="9"/>
      <c r="I28" s="434">
        <f t="shared" si="2"/>
        <v>0</v>
      </c>
      <c r="J28" s="431">
        <f t="shared" si="3"/>
        <v>0</v>
      </c>
      <c r="K28" s="8"/>
    </row>
    <row r="29" spans="1:11" ht="15.75" x14ac:dyDescent="0.2">
      <c r="A29" s="8">
        <v>18</v>
      </c>
      <c r="B29" s="349" t="s">
        <v>907</v>
      </c>
      <c r="C29" s="9">
        <v>2410</v>
      </c>
      <c r="D29" s="339">
        <f t="shared" si="0"/>
        <v>120.5</v>
      </c>
      <c r="E29" s="9">
        <v>2410</v>
      </c>
      <c r="F29" s="431">
        <f t="shared" si="1"/>
        <v>120.5</v>
      </c>
      <c r="G29" s="9"/>
      <c r="H29" s="9"/>
      <c r="I29" s="434">
        <f t="shared" si="2"/>
        <v>0</v>
      </c>
      <c r="J29" s="431">
        <f t="shared" si="3"/>
        <v>0</v>
      </c>
      <c r="K29" s="8"/>
    </row>
    <row r="30" spans="1:11" ht="15.75" x14ac:dyDescent="0.2">
      <c r="A30" s="8">
        <v>19</v>
      </c>
      <c r="B30" s="349" t="s">
        <v>908</v>
      </c>
      <c r="C30" s="9">
        <v>3132</v>
      </c>
      <c r="D30" s="339">
        <f t="shared" si="0"/>
        <v>156.6</v>
      </c>
      <c r="E30" s="9">
        <v>3132</v>
      </c>
      <c r="F30" s="431">
        <f t="shared" si="1"/>
        <v>156.6</v>
      </c>
      <c r="G30" s="9"/>
      <c r="H30" s="9"/>
      <c r="I30" s="434">
        <f t="shared" si="2"/>
        <v>0</v>
      </c>
      <c r="J30" s="431">
        <f t="shared" si="3"/>
        <v>0</v>
      </c>
      <c r="K30" s="9"/>
    </row>
    <row r="31" spans="1:11" ht="15.75" x14ac:dyDescent="0.2">
      <c r="A31" s="8">
        <v>20</v>
      </c>
      <c r="B31" s="349" t="s">
        <v>909</v>
      </c>
      <c r="C31" s="9">
        <v>1580</v>
      </c>
      <c r="D31" s="339">
        <f t="shared" si="0"/>
        <v>79</v>
      </c>
      <c r="E31" s="9">
        <v>1580</v>
      </c>
      <c r="F31" s="431">
        <f t="shared" si="1"/>
        <v>79</v>
      </c>
      <c r="G31" s="9"/>
      <c r="H31" s="9"/>
      <c r="I31" s="434">
        <f t="shared" si="2"/>
        <v>0</v>
      </c>
      <c r="J31" s="431">
        <f t="shared" si="3"/>
        <v>0</v>
      </c>
      <c r="K31" s="9"/>
    </row>
    <row r="32" spans="1:11" ht="15.75" x14ac:dyDescent="0.2">
      <c r="A32" s="8">
        <v>21</v>
      </c>
      <c r="B32" s="349" t="s">
        <v>910</v>
      </c>
      <c r="C32" s="9">
        <v>1011</v>
      </c>
      <c r="D32" s="339">
        <f t="shared" si="0"/>
        <v>50.55</v>
      </c>
      <c r="E32" s="9">
        <v>1011</v>
      </c>
      <c r="F32" s="431">
        <f t="shared" si="1"/>
        <v>50.55</v>
      </c>
      <c r="G32" s="9"/>
      <c r="H32" s="9"/>
      <c r="I32" s="434">
        <f t="shared" si="2"/>
        <v>0</v>
      </c>
      <c r="J32" s="431">
        <f t="shared" si="3"/>
        <v>0</v>
      </c>
      <c r="K32" s="9"/>
    </row>
    <row r="33" spans="1:16" ht="15.75" x14ac:dyDescent="0.2">
      <c r="A33" s="8">
        <v>22</v>
      </c>
      <c r="B33" s="349" t="s">
        <v>911</v>
      </c>
      <c r="C33" s="9">
        <v>4780</v>
      </c>
      <c r="D33" s="339">
        <f t="shared" si="0"/>
        <v>239</v>
      </c>
      <c r="E33" s="9">
        <v>4780</v>
      </c>
      <c r="F33" s="431">
        <f t="shared" si="1"/>
        <v>239</v>
      </c>
      <c r="G33" s="9"/>
      <c r="H33" s="9"/>
      <c r="I33" s="434">
        <f t="shared" si="2"/>
        <v>0</v>
      </c>
      <c r="J33" s="431">
        <f t="shared" si="3"/>
        <v>0</v>
      </c>
      <c r="K33" s="9"/>
    </row>
    <row r="34" spans="1:16" ht="15.75" x14ac:dyDescent="0.2">
      <c r="A34" s="8">
        <v>23</v>
      </c>
      <c r="B34" s="349" t="s">
        <v>912</v>
      </c>
      <c r="C34" s="9">
        <v>1900</v>
      </c>
      <c r="D34" s="339">
        <f t="shared" si="0"/>
        <v>95</v>
      </c>
      <c r="E34" s="9">
        <v>1900</v>
      </c>
      <c r="F34" s="431">
        <f t="shared" si="1"/>
        <v>95</v>
      </c>
      <c r="G34" s="9"/>
      <c r="H34" s="9"/>
      <c r="I34" s="434">
        <f t="shared" si="2"/>
        <v>0</v>
      </c>
      <c r="J34" s="431">
        <f t="shared" si="3"/>
        <v>0</v>
      </c>
      <c r="K34" s="9"/>
    </row>
    <row r="35" spans="1:16" ht="15.75" x14ac:dyDescent="0.2">
      <c r="A35" s="8">
        <v>24</v>
      </c>
      <c r="B35" s="349" t="s">
        <v>913</v>
      </c>
      <c r="C35" s="9">
        <v>4214</v>
      </c>
      <c r="D35" s="339">
        <f t="shared" si="0"/>
        <v>210.7</v>
      </c>
      <c r="E35" s="9">
        <v>4214</v>
      </c>
      <c r="F35" s="431">
        <f t="shared" si="1"/>
        <v>210.7</v>
      </c>
      <c r="G35" s="9"/>
      <c r="H35" s="9"/>
      <c r="I35" s="434">
        <f t="shared" si="2"/>
        <v>0</v>
      </c>
      <c r="J35" s="431">
        <f t="shared" si="3"/>
        <v>0</v>
      </c>
      <c r="K35" s="9"/>
    </row>
    <row r="36" spans="1:16" ht="15.75" x14ac:dyDescent="0.2">
      <c r="A36" s="8">
        <v>25</v>
      </c>
      <c r="B36" s="349" t="s">
        <v>919</v>
      </c>
      <c r="C36" s="9">
        <v>3459</v>
      </c>
      <c r="D36" s="339">
        <f t="shared" si="0"/>
        <v>172.95</v>
      </c>
      <c r="E36" s="9">
        <v>3459</v>
      </c>
      <c r="F36" s="431">
        <f t="shared" si="1"/>
        <v>172.95</v>
      </c>
      <c r="G36" s="9"/>
      <c r="H36" s="9"/>
      <c r="I36" s="434">
        <f t="shared" si="2"/>
        <v>0</v>
      </c>
      <c r="J36" s="431">
        <f t="shared" si="3"/>
        <v>0</v>
      </c>
      <c r="K36" s="9"/>
    </row>
    <row r="37" spans="1:16" s="12" customFormat="1" ht="15.75" x14ac:dyDescent="0.2">
      <c r="A37" s="8">
        <v>26</v>
      </c>
      <c r="B37" s="349" t="s">
        <v>914</v>
      </c>
      <c r="C37" s="9">
        <v>2365</v>
      </c>
      <c r="D37" s="339">
        <f t="shared" si="0"/>
        <v>118.25</v>
      </c>
      <c r="E37" s="9">
        <v>2365</v>
      </c>
      <c r="F37" s="431">
        <f t="shared" si="1"/>
        <v>118.25</v>
      </c>
      <c r="G37" s="9"/>
      <c r="H37" s="9"/>
      <c r="I37" s="434">
        <f t="shared" si="2"/>
        <v>0</v>
      </c>
      <c r="J37" s="431">
        <f t="shared" si="3"/>
        <v>0</v>
      </c>
      <c r="K37" s="9"/>
    </row>
    <row r="38" spans="1:16" s="12" customFormat="1" ht="15.75" x14ac:dyDescent="0.2">
      <c r="A38" s="8">
        <v>27</v>
      </c>
      <c r="B38" s="349" t="s">
        <v>915</v>
      </c>
      <c r="C38" s="9">
        <v>2768</v>
      </c>
      <c r="D38" s="339">
        <f t="shared" si="0"/>
        <v>138.4</v>
      </c>
      <c r="E38" s="9">
        <v>2768</v>
      </c>
      <c r="F38" s="431">
        <f t="shared" si="1"/>
        <v>138.4</v>
      </c>
      <c r="G38" s="9"/>
      <c r="H38" s="9"/>
      <c r="I38" s="434">
        <f t="shared" si="2"/>
        <v>0</v>
      </c>
      <c r="J38" s="431">
        <f t="shared" si="3"/>
        <v>0</v>
      </c>
      <c r="K38" s="9"/>
    </row>
    <row r="39" spans="1:16" s="12" customFormat="1" x14ac:dyDescent="0.2">
      <c r="A39" s="3" t="s">
        <v>18</v>
      </c>
      <c r="B39" s="9"/>
      <c r="C39" s="9">
        <f>SUM(C12:C38)</f>
        <v>76010</v>
      </c>
      <c r="D39" s="333">
        <f>SUM(D12:D38)</f>
        <v>3800.5</v>
      </c>
      <c r="E39" s="435">
        <f>SUM(E12:E38)</f>
        <v>76010</v>
      </c>
      <c r="F39" s="333">
        <f>SUM(F12:F38)</f>
        <v>3800.5</v>
      </c>
      <c r="G39" s="9"/>
      <c r="H39" s="9"/>
      <c r="I39" s="435">
        <f>SUM(I12:I38)</f>
        <v>0</v>
      </c>
      <c r="J39" s="333">
        <f>SUM(J12:J38)</f>
        <v>0</v>
      </c>
      <c r="K39" s="9"/>
    </row>
    <row r="40" spans="1:16" s="12" customFormat="1" x14ac:dyDescent="0.2"/>
    <row r="41" spans="1:16" s="12" customFormat="1" x14ac:dyDescent="0.2">
      <c r="A41" s="10" t="s">
        <v>39</v>
      </c>
    </row>
    <row r="42" spans="1:16" ht="15.75" customHeight="1" x14ac:dyDescent="0.2">
      <c r="C42" s="1011"/>
      <c r="D42" s="1011"/>
      <c r="E42" s="1011"/>
      <c r="F42" s="1011"/>
    </row>
    <row r="43" spans="1:16" s="569" customFormat="1" ht="13.9" customHeight="1" x14ac:dyDescent="0.2"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</row>
    <row r="44" spans="1:16" s="569" customFormat="1" ht="13.15" customHeight="1" x14ac:dyDescent="0.2">
      <c r="A44" s="563"/>
      <c r="B44" s="563"/>
      <c r="C44" s="563"/>
      <c r="D44" s="563"/>
      <c r="E44" s="563"/>
      <c r="F44" s="563"/>
      <c r="G44" s="810" t="s">
        <v>13</v>
      </c>
      <c r="H44" s="810"/>
      <c r="I44" s="810"/>
      <c r="J44" s="810"/>
      <c r="K44" s="810"/>
      <c r="L44" s="563"/>
      <c r="M44" s="563"/>
      <c r="N44" s="563"/>
      <c r="O44" s="563"/>
      <c r="P44" s="563"/>
    </row>
    <row r="45" spans="1:16" s="569" customFormat="1" ht="13.15" customHeight="1" x14ac:dyDescent="0.2">
      <c r="A45" s="563"/>
      <c r="B45" s="563"/>
      <c r="C45" s="563"/>
      <c r="D45" s="563"/>
      <c r="E45" s="563"/>
      <c r="F45" s="563"/>
      <c r="G45" s="810" t="s">
        <v>14</v>
      </c>
      <c r="H45" s="810"/>
      <c r="I45" s="810"/>
      <c r="J45" s="810"/>
      <c r="K45" s="810"/>
      <c r="L45" s="563"/>
      <c r="M45" s="563"/>
      <c r="N45" s="563"/>
      <c r="O45" s="563"/>
      <c r="P45" s="563"/>
    </row>
    <row r="46" spans="1:16" s="569" customFormat="1" x14ac:dyDescent="0.2">
      <c r="A46" s="14"/>
      <c r="B46" s="14"/>
      <c r="C46" s="14"/>
      <c r="D46" s="14"/>
      <c r="E46" s="14"/>
      <c r="F46" s="14"/>
      <c r="G46" s="810" t="s">
        <v>918</v>
      </c>
      <c r="H46" s="810"/>
      <c r="I46" s="810"/>
      <c r="J46" s="810"/>
      <c r="K46" s="810"/>
    </row>
    <row r="47" spans="1:16" s="15" customFormat="1" ht="15" x14ac:dyDescent="0.25">
      <c r="A47" s="492" t="s">
        <v>12</v>
      </c>
      <c r="G47" s="657"/>
      <c r="H47" s="207" t="s">
        <v>82</v>
      </c>
      <c r="I47" s="207"/>
      <c r="J47" s="207"/>
      <c r="K47" s="207"/>
    </row>
    <row r="48" spans="1:16" x14ac:dyDescent="0.2">
      <c r="A48" s="931"/>
      <c r="B48" s="931"/>
      <c r="C48" s="931"/>
      <c r="D48" s="931"/>
      <c r="E48" s="931"/>
      <c r="F48" s="931"/>
      <c r="G48" s="931"/>
      <c r="H48" s="931"/>
      <c r="I48" s="931"/>
      <c r="J48" s="931"/>
    </row>
  </sheetData>
  <mergeCells count="19">
    <mergeCell ref="I7:K7"/>
    <mergeCell ref="D1:E1"/>
    <mergeCell ref="J1:K1"/>
    <mergeCell ref="A2:J2"/>
    <mergeCell ref="A3:J3"/>
    <mergeCell ref="A5:L5"/>
    <mergeCell ref="A48:J48"/>
    <mergeCell ref="K9:K10"/>
    <mergeCell ref="C42:F42"/>
    <mergeCell ref="C8:J8"/>
    <mergeCell ref="A9:A10"/>
    <mergeCell ref="B9:B10"/>
    <mergeCell ref="C9:D9"/>
    <mergeCell ref="E9:F9"/>
    <mergeCell ref="G9:H9"/>
    <mergeCell ref="I9:J9"/>
    <mergeCell ref="G44:K44"/>
    <mergeCell ref="G45:K45"/>
    <mergeCell ref="G46:K46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T57"/>
  <sheetViews>
    <sheetView topLeftCell="A37" zoomScale="80" zoomScaleNormal="80" zoomScaleSheetLayoutView="86" workbookViewId="0">
      <selection activeCell="A55" sqref="A55"/>
    </sheetView>
  </sheetViews>
  <sheetFormatPr defaultRowHeight="12.75" x14ac:dyDescent="0.2"/>
  <cols>
    <col min="1" max="1" width="9.28515625" style="14" customWidth="1"/>
    <col min="2" max="3" width="8.5703125" style="14" customWidth="1"/>
    <col min="4" max="4" width="12" style="14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15" width="8.5703125" style="14" customWidth="1"/>
    <col min="16" max="16" width="8.42578125" style="14" customWidth="1"/>
    <col min="17" max="19" width="8.5703125" style="14" customWidth="1"/>
    <col min="20" max="16384" width="9.140625" style="14"/>
  </cols>
  <sheetData>
    <row r="1" spans="1:19" x14ac:dyDescent="0.2">
      <c r="A1" s="14" t="s">
        <v>11</v>
      </c>
      <c r="H1" s="870"/>
      <c r="I1" s="870"/>
      <c r="R1" s="864" t="s">
        <v>54</v>
      </c>
      <c r="S1" s="864"/>
    </row>
    <row r="2" spans="1:19" s="13" customFormat="1" ht="15.75" x14ac:dyDescent="0.25">
      <c r="A2" s="865" t="s">
        <v>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</row>
    <row r="3" spans="1:19" s="13" customFormat="1" ht="20.25" customHeight="1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</row>
    <row r="5" spans="1:19" s="13" customFormat="1" ht="15.75" x14ac:dyDescent="0.25">
      <c r="A5" s="856" t="s">
        <v>787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</row>
    <row r="6" spans="1:19" x14ac:dyDescent="0.2">
      <c r="A6" s="869" t="s">
        <v>159</v>
      </c>
      <c r="B6" s="869"/>
    </row>
    <row r="7" spans="1:19" x14ac:dyDescent="0.2">
      <c r="A7" s="869" t="s">
        <v>166</v>
      </c>
      <c r="B7" s="869"/>
      <c r="C7" s="869"/>
      <c r="D7" s="869"/>
      <c r="E7" s="869"/>
      <c r="F7" s="869"/>
      <c r="G7" s="869"/>
      <c r="H7" s="869"/>
      <c r="I7" s="869"/>
      <c r="R7" s="31"/>
      <c r="S7" s="31"/>
    </row>
    <row r="9" spans="1:19" ht="18" customHeight="1" x14ac:dyDescent="0.2">
      <c r="A9" s="5"/>
      <c r="B9" s="824" t="s">
        <v>41</v>
      </c>
      <c r="C9" s="824"/>
      <c r="D9" s="824" t="s">
        <v>42</v>
      </c>
      <c r="E9" s="824"/>
      <c r="F9" s="824" t="s">
        <v>43</v>
      </c>
      <c r="G9" s="824"/>
      <c r="H9" s="871" t="s">
        <v>44</v>
      </c>
      <c r="I9" s="871"/>
      <c r="J9" s="824" t="s">
        <v>45</v>
      </c>
      <c r="K9" s="824"/>
      <c r="L9" s="27" t="s">
        <v>18</v>
      </c>
    </row>
    <row r="10" spans="1:19" s="70" customFormat="1" ht="13.5" customHeight="1" x14ac:dyDescent="0.2">
      <c r="A10" s="72">
        <v>1</v>
      </c>
      <c r="B10" s="854">
        <v>2</v>
      </c>
      <c r="C10" s="854"/>
      <c r="D10" s="854">
        <v>3</v>
      </c>
      <c r="E10" s="854"/>
      <c r="F10" s="854">
        <v>4</v>
      </c>
      <c r="G10" s="854"/>
      <c r="H10" s="854">
        <v>5</v>
      </c>
      <c r="I10" s="854"/>
      <c r="J10" s="854">
        <v>6</v>
      </c>
      <c r="K10" s="854"/>
      <c r="L10" s="72">
        <v>7</v>
      </c>
    </row>
    <row r="11" spans="1:19" x14ac:dyDescent="0.2">
      <c r="A11" s="3" t="s">
        <v>46</v>
      </c>
      <c r="B11" s="852">
        <v>903</v>
      </c>
      <c r="C11" s="852"/>
      <c r="D11" s="852">
        <v>11154</v>
      </c>
      <c r="E11" s="852"/>
      <c r="F11" s="852">
        <v>4217</v>
      </c>
      <c r="G11" s="852"/>
      <c r="H11" s="852"/>
      <c r="I11" s="852"/>
      <c r="J11" s="852">
        <v>232</v>
      </c>
      <c r="K11" s="852"/>
      <c r="L11" s="18">
        <v>16506</v>
      </c>
    </row>
    <row r="12" spans="1:19" x14ac:dyDescent="0.2">
      <c r="A12" s="3" t="s">
        <v>47</v>
      </c>
      <c r="B12" s="852">
        <v>7986</v>
      </c>
      <c r="C12" s="852"/>
      <c r="D12" s="852">
        <v>28032</v>
      </c>
      <c r="E12" s="852"/>
      <c r="F12" s="852">
        <v>31861</v>
      </c>
      <c r="G12" s="852"/>
      <c r="H12" s="852"/>
      <c r="I12" s="852"/>
      <c r="J12" s="852">
        <v>2309</v>
      </c>
      <c r="K12" s="852"/>
      <c r="L12" s="18">
        <v>70188</v>
      </c>
    </row>
    <row r="13" spans="1:19" x14ac:dyDescent="0.2">
      <c r="A13" s="3" t="s">
        <v>18</v>
      </c>
      <c r="B13" s="816">
        <f>SUM(B11:B12)</f>
        <v>8889</v>
      </c>
      <c r="C13" s="816"/>
      <c r="D13" s="816">
        <f>SUM(D11:D12)</f>
        <v>39186</v>
      </c>
      <c r="E13" s="816"/>
      <c r="F13" s="816">
        <f>SUM(F11:F12)</f>
        <v>36078</v>
      </c>
      <c r="G13" s="816"/>
      <c r="H13" s="816">
        <f>SUM(H11:H12)</f>
        <v>0</v>
      </c>
      <c r="I13" s="816"/>
      <c r="J13" s="816">
        <f>SUM(J11:J12)</f>
        <v>2541</v>
      </c>
      <c r="K13" s="816"/>
      <c r="L13" s="332">
        <f>SUM(L11:L12)</f>
        <v>86694</v>
      </c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x14ac:dyDescent="0.2">
      <c r="A15" s="853" t="s">
        <v>425</v>
      </c>
      <c r="B15" s="853"/>
      <c r="C15" s="853"/>
      <c r="D15" s="853"/>
      <c r="E15" s="853"/>
      <c r="F15" s="853"/>
      <c r="G15" s="853"/>
      <c r="H15" s="11"/>
      <c r="I15" s="11"/>
      <c r="J15" s="11"/>
      <c r="K15" s="11"/>
      <c r="L15" s="11"/>
    </row>
    <row r="16" spans="1:19" ht="12.75" customHeight="1" x14ac:dyDescent="0.2">
      <c r="A16" s="867" t="s">
        <v>174</v>
      </c>
      <c r="B16" s="868"/>
      <c r="C16" s="866" t="s">
        <v>200</v>
      </c>
      <c r="D16" s="866"/>
      <c r="E16" s="3" t="s">
        <v>18</v>
      </c>
      <c r="I16" s="11"/>
      <c r="J16" s="11"/>
      <c r="K16" s="11"/>
      <c r="L16" s="11"/>
    </row>
    <row r="17" spans="1:20" x14ac:dyDescent="0.2">
      <c r="A17" s="818">
        <v>600</v>
      </c>
      <c r="B17" s="819"/>
      <c r="C17" s="818">
        <v>600</v>
      </c>
      <c r="D17" s="819"/>
      <c r="E17" s="3">
        <v>1200</v>
      </c>
      <c r="I17" s="11"/>
      <c r="J17" s="11"/>
      <c r="K17" s="11"/>
      <c r="L17" s="11"/>
    </row>
    <row r="18" spans="1:20" x14ac:dyDescent="0.2">
      <c r="A18" s="818"/>
      <c r="B18" s="819"/>
      <c r="C18" s="818"/>
      <c r="D18" s="819"/>
      <c r="E18" s="3"/>
      <c r="I18" s="11"/>
      <c r="J18" s="11"/>
      <c r="K18" s="11"/>
      <c r="L18" s="11"/>
    </row>
    <row r="19" spans="1:20" x14ac:dyDescent="0.2">
      <c r="A19" s="247"/>
      <c r="B19" s="247"/>
      <c r="C19" s="247"/>
      <c r="D19" s="247"/>
      <c r="E19" s="247"/>
      <c r="F19" s="247"/>
      <c r="G19" s="247"/>
      <c r="H19" s="11"/>
      <c r="I19" s="11"/>
      <c r="J19" s="11"/>
      <c r="K19" s="11"/>
      <c r="L19" s="11"/>
    </row>
    <row r="21" spans="1:20" ht="19.149999999999999" customHeight="1" x14ac:dyDescent="0.2">
      <c r="A21" s="861" t="s">
        <v>167</v>
      </c>
      <c r="B21" s="861"/>
      <c r="C21" s="861"/>
      <c r="D21" s="861"/>
      <c r="E21" s="861"/>
      <c r="F21" s="861"/>
      <c r="G21" s="861"/>
      <c r="H21" s="861"/>
      <c r="I21" s="861"/>
      <c r="J21" s="861"/>
      <c r="K21" s="861"/>
      <c r="L21" s="861"/>
      <c r="M21" s="861"/>
      <c r="N21" s="861"/>
      <c r="O21" s="861"/>
      <c r="P21" s="861"/>
      <c r="Q21" s="861"/>
      <c r="R21" s="861"/>
      <c r="S21" s="861"/>
    </row>
    <row r="22" spans="1:20" x14ac:dyDescent="0.2">
      <c r="A22" s="824" t="s">
        <v>22</v>
      </c>
      <c r="B22" s="824" t="s">
        <v>48</v>
      </c>
      <c r="C22" s="824"/>
      <c r="D22" s="824"/>
      <c r="E22" s="862" t="s">
        <v>23</v>
      </c>
      <c r="F22" s="862"/>
      <c r="G22" s="862"/>
      <c r="H22" s="862"/>
      <c r="I22" s="862"/>
      <c r="J22" s="862"/>
      <c r="K22" s="862"/>
      <c r="L22" s="862"/>
      <c r="M22" s="816" t="s">
        <v>24</v>
      </c>
      <c r="N22" s="816"/>
      <c r="O22" s="816"/>
      <c r="P22" s="816"/>
      <c r="Q22" s="816"/>
      <c r="R22" s="816"/>
      <c r="S22" s="816"/>
      <c r="T22" s="816"/>
    </row>
    <row r="23" spans="1:20" ht="33.75" customHeight="1" x14ac:dyDescent="0.2">
      <c r="A23" s="824"/>
      <c r="B23" s="824"/>
      <c r="C23" s="824"/>
      <c r="D23" s="824"/>
      <c r="E23" s="828" t="s">
        <v>129</v>
      </c>
      <c r="F23" s="830"/>
      <c r="G23" s="828" t="s">
        <v>168</v>
      </c>
      <c r="H23" s="830"/>
      <c r="I23" s="824" t="s">
        <v>49</v>
      </c>
      <c r="J23" s="824"/>
      <c r="K23" s="828" t="s">
        <v>92</v>
      </c>
      <c r="L23" s="830"/>
      <c r="M23" s="828" t="s">
        <v>93</v>
      </c>
      <c r="N23" s="830"/>
      <c r="O23" s="828" t="s">
        <v>168</v>
      </c>
      <c r="P23" s="830"/>
      <c r="Q23" s="824" t="s">
        <v>49</v>
      </c>
      <c r="R23" s="824"/>
      <c r="S23" s="824" t="s">
        <v>92</v>
      </c>
      <c r="T23" s="824"/>
    </row>
    <row r="24" spans="1:20" s="70" customFormat="1" ht="15.75" customHeight="1" x14ac:dyDescent="0.2">
      <c r="A24" s="72">
        <v>1</v>
      </c>
      <c r="B24" s="848">
        <v>2</v>
      </c>
      <c r="C24" s="860"/>
      <c r="D24" s="849"/>
      <c r="E24" s="848">
        <v>3</v>
      </c>
      <c r="F24" s="849"/>
      <c r="G24" s="848">
        <v>4</v>
      </c>
      <c r="H24" s="849"/>
      <c r="I24" s="854">
        <v>5</v>
      </c>
      <c r="J24" s="854"/>
      <c r="K24" s="854">
        <v>6</v>
      </c>
      <c r="L24" s="854"/>
      <c r="M24" s="848">
        <v>3</v>
      </c>
      <c r="N24" s="849"/>
      <c r="O24" s="848">
        <v>4</v>
      </c>
      <c r="P24" s="849"/>
      <c r="Q24" s="854">
        <v>5</v>
      </c>
      <c r="R24" s="854"/>
      <c r="S24" s="854">
        <v>6</v>
      </c>
      <c r="T24" s="854"/>
    </row>
    <row r="25" spans="1:20" ht="27.75" customHeight="1" x14ac:dyDescent="0.2">
      <c r="A25" s="69">
        <v>1</v>
      </c>
      <c r="B25" s="857" t="s">
        <v>482</v>
      </c>
      <c r="C25" s="858"/>
      <c r="D25" s="859"/>
      <c r="E25" s="850">
        <v>100</v>
      </c>
      <c r="F25" s="851"/>
      <c r="G25" s="818" t="s">
        <v>353</v>
      </c>
      <c r="H25" s="819"/>
      <c r="I25" s="855">
        <v>310</v>
      </c>
      <c r="J25" s="855"/>
      <c r="K25" s="855">
        <v>8</v>
      </c>
      <c r="L25" s="855"/>
      <c r="M25" s="850">
        <v>150</v>
      </c>
      <c r="N25" s="851"/>
      <c r="O25" s="818" t="s">
        <v>353</v>
      </c>
      <c r="P25" s="819"/>
      <c r="Q25" s="855">
        <v>510</v>
      </c>
      <c r="R25" s="855"/>
      <c r="S25" s="855">
        <v>13</v>
      </c>
      <c r="T25" s="855"/>
    </row>
    <row r="26" spans="1:20" x14ac:dyDescent="0.2">
      <c r="A26" s="69">
        <v>2</v>
      </c>
      <c r="B26" s="845" t="s">
        <v>50</v>
      </c>
      <c r="C26" s="846"/>
      <c r="D26" s="847"/>
      <c r="E26" s="813">
        <v>20</v>
      </c>
      <c r="F26" s="814"/>
      <c r="G26" s="822">
        <v>2</v>
      </c>
      <c r="H26" s="823"/>
      <c r="I26" s="813">
        <v>70</v>
      </c>
      <c r="J26" s="814"/>
      <c r="K26" s="821">
        <v>5</v>
      </c>
      <c r="L26" s="821"/>
      <c r="M26" s="813">
        <v>30</v>
      </c>
      <c r="N26" s="814"/>
      <c r="O26" s="822">
        <v>3</v>
      </c>
      <c r="P26" s="823"/>
      <c r="Q26" s="821">
        <v>85</v>
      </c>
      <c r="R26" s="821"/>
      <c r="S26" s="821">
        <v>7</v>
      </c>
      <c r="T26" s="821"/>
    </row>
    <row r="27" spans="1:20" x14ac:dyDescent="0.2">
      <c r="A27" s="69">
        <v>3</v>
      </c>
      <c r="B27" s="845" t="s">
        <v>169</v>
      </c>
      <c r="C27" s="846"/>
      <c r="D27" s="847"/>
      <c r="E27" s="813">
        <v>50</v>
      </c>
      <c r="F27" s="814"/>
      <c r="G27" s="822">
        <v>1.25</v>
      </c>
      <c r="H27" s="823"/>
      <c r="I27" s="813">
        <v>25</v>
      </c>
      <c r="J27" s="814"/>
      <c r="K27" s="821">
        <v>0</v>
      </c>
      <c r="L27" s="821"/>
      <c r="M27" s="813">
        <v>75</v>
      </c>
      <c r="N27" s="814"/>
      <c r="O27" s="822">
        <v>1.87</v>
      </c>
      <c r="P27" s="823"/>
      <c r="Q27" s="821">
        <v>55</v>
      </c>
      <c r="R27" s="821"/>
      <c r="S27" s="821">
        <v>0</v>
      </c>
      <c r="T27" s="821"/>
    </row>
    <row r="28" spans="1:20" x14ac:dyDescent="0.2">
      <c r="A28" s="69">
        <v>4</v>
      </c>
      <c r="B28" s="845" t="s">
        <v>51</v>
      </c>
      <c r="C28" s="846"/>
      <c r="D28" s="847"/>
      <c r="E28" s="813">
        <v>5</v>
      </c>
      <c r="F28" s="814"/>
      <c r="G28" s="822">
        <v>0.48</v>
      </c>
      <c r="H28" s="823"/>
      <c r="I28" s="813">
        <v>45</v>
      </c>
      <c r="J28" s="814"/>
      <c r="K28" s="821">
        <v>0</v>
      </c>
      <c r="L28" s="821"/>
      <c r="M28" s="813">
        <v>7.5</v>
      </c>
      <c r="N28" s="814"/>
      <c r="O28" s="822">
        <v>0.7</v>
      </c>
      <c r="P28" s="823"/>
      <c r="Q28" s="821">
        <v>100</v>
      </c>
      <c r="R28" s="821"/>
      <c r="S28" s="821">
        <v>0</v>
      </c>
      <c r="T28" s="821"/>
    </row>
    <row r="29" spans="1:20" x14ac:dyDescent="0.2">
      <c r="A29" s="69">
        <v>5</v>
      </c>
      <c r="B29" s="845" t="s">
        <v>52</v>
      </c>
      <c r="C29" s="846"/>
      <c r="D29" s="847"/>
      <c r="E29" s="813" t="s">
        <v>889</v>
      </c>
      <c r="F29" s="814"/>
      <c r="G29" s="822">
        <v>0.3</v>
      </c>
      <c r="H29" s="823"/>
      <c r="I29" s="813">
        <v>0</v>
      </c>
      <c r="J29" s="814"/>
      <c r="K29" s="821">
        <v>0</v>
      </c>
      <c r="L29" s="821"/>
      <c r="M29" s="813" t="s">
        <v>889</v>
      </c>
      <c r="N29" s="814"/>
      <c r="O29" s="822">
        <v>0.45</v>
      </c>
      <c r="P29" s="823"/>
      <c r="Q29" s="821">
        <v>0</v>
      </c>
      <c r="R29" s="821"/>
      <c r="S29" s="821">
        <v>0</v>
      </c>
      <c r="T29" s="821"/>
    </row>
    <row r="30" spans="1:20" x14ac:dyDescent="0.2">
      <c r="A30" s="69">
        <v>6</v>
      </c>
      <c r="B30" s="845" t="s">
        <v>53</v>
      </c>
      <c r="C30" s="846"/>
      <c r="D30" s="847"/>
      <c r="E30" s="813" t="s">
        <v>889</v>
      </c>
      <c r="F30" s="814"/>
      <c r="G30" s="822">
        <v>0.55000000000000004</v>
      </c>
      <c r="H30" s="823"/>
      <c r="I30" s="813">
        <v>0</v>
      </c>
      <c r="J30" s="814"/>
      <c r="K30" s="821">
        <v>0</v>
      </c>
      <c r="L30" s="821"/>
      <c r="M30" s="813" t="s">
        <v>889</v>
      </c>
      <c r="N30" s="814"/>
      <c r="O30" s="822">
        <v>0.69</v>
      </c>
      <c r="P30" s="823"/>
      <c r="Q30" s="821">
        <v>0</v>
      </c>
      <c r="R30" s="821"/>
      <c r="S30" s="821">
        <v>0</v>
      </c>
      <c r="T30" s="821"/>
    </row>
    <row r="31" spans="1:20" x14ac:dyDescent="0.2">
      <c r="A31" s="69">
        <v>7</v>
      </c>
      <c r="B31" s="826" t="s">
        <v>170</v>
      </c>
      <c r="C31" s="826"/>
      <c r="D31" s="826"/>
      <c r="E31" s="813" t="s">
        <v>889</v>
      </c>
      <c r="F31" s="814"/>
      <c r="G31" s="822">
        <v>0.32</v>
      </c>
      <c r="H31" s="823"/>
      <c r="I31" s="821">
        <v>0</v>
      </c>
      <c r="J31" s="821"/>
      <c r="K31" s="821">
        <v>0</v>
      </c>
      <c r="L31" s="821"/>
      <c r="M31" s="813" t="s">
        <v>889</v>
      </c>
      <c r="N31" s="814"/>
      <c r="O31" s="822">
        <v>0</v>
      </c>
      <c r="P31" s="823"/>
      <c r="Q31" s="821">
        <v>0</v>
      </c>
      <c r="R31" s="821"/>
      <c r="S31" s="821">
        <v>0</v>
      </c>
      <c r="T31" s="821"/>
    </row>
    <row r="32" spans="1:20" x14ac:dyDescent="0.2">
      <c r="A32" s="69"/>
      <c r="B32" s="824" t="s">
        <v>18</v>
      </c>
      <c r="C32" s="824"/>
      <c r="D32" s="824"/>
      <c r="E32" s="841"/>
      <c r="F32" s="842"/>
      <c r="G32" s="843">
        <f>SUM(G26:G31)</f>
        <v>4.9000000000000004</v>
      </c>
      <c r="H32" s="844"/>
      <c r="I32" s="820">
        <v>450</v>
      </c>
      <c r="J32" s="820"/>
      <c r="K32" s="820">
        <v>13</v>
      </c>
      <c r="L32" s="820"/>
      <c r="M32" s="841"/>
      <c r="N32" s="842"/>
      <c r="O32" s="843">
        <f>SUM(O26:O31)</f>
        <v>6.7100000000000009</v>
      </c>
      <c r="P32" s="844"/>
      <c r="Q32" s="820">
        <v>750</v>
      </c>
      <c r="R32" s="820"/>
      <c r="S32" s="820">
        <v>20</v>
      </c>
      <c r="T32" s="820"/>
    </row>
    <row r="33" spans="1:20" x14ac:dyDescent="0.2">
      <c r="A33" s="113"/>
      <c r="B33" s="114"/>
      <c r="C33" s="114"/>
      <c r="D33" s="11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 x14ac:dyDescent="0.2">
      <c r="A34" s="250" t="s">
        <v>405</v>
      </c>
      <c r="B34" s="815" t="s">
        <v>459</v>
      </c>
      <c r="C34" s="815"/>
      <c r="D34" s="815"/>
      <c r="E34" s="815"/>
      <c r="F34" s="815"/>
      <c r="G34" s="815"/>
      <c r="H34" s="81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">
      <c r="A35" s="250"/>
      <c r="B35" s="114"/>
      <c r="C35" s="114"/>
      <c r="D35" s="11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31" customFormat="1" ht="17.25" customHeight="1" x14ac:dyDescent="0.2">
      <c r="A36" s="2" t="s">
        <v>22</v>
      </c>
      <c r="B36" s="831" t="s">
        <v>406</v>
      </c>
      <c r="C36" s="832"/>
      <c r="D36" s="833"/>
      <c r="E36" s="828" t="s">
        <v>23</v>
      </c>
      <c r="F36" s="829"/>
      <c r="G36" s="829"/>
      <c r="H36" s="829"/>
      <c r="I36" s="829"/>
      <c r="J36" s="830"/>
      <c r="K36" s="816" t="s">
        <v>24</v>
      </c>
      <c r="L36" s="816"/>
      <c r="M36" s="816"/>
      <c r="N36" s="816"/>
      <c r="O36" s="816"/>
      <c r="P36" s="816"/>
      <c r="Q36" s="817"/>
      <c r="R36" s="817"/>
      <c r="S36" s="817"/>
      <c r="T36" s="817"/>
    </row>
    <row r="37" spans="1:20" x14ac:dyDescent="0.2">
      <c r="A37" s="4"/>
      <c r="B37" s="834"/>
      <c r="C37" s="835"/>
      <c r="D37" s="836"/>
      <c r="E37" s="818" t="s">
        <v>422</v>
      </c>
      <c r="F37" s="819"/>
      <c r="G37" s="818" t="s">
        <v>423</v>
      </c>
      <c r="H37" s="819"/>
      <c r="I37" s="818" t="s">
        <v>424</v>
      </c>
      <c r="J37" s="819"/>
      <c r="K37" s="816" t="s">
        <v>422</v>
      </c>
      <c r="L37" s="816"/>
      <c r="M37" s="816" t="s">
        <v>423</v>
      </c>
      <c r="N37" s="816"/>
      <c r="O37" s="816" t="s">
        <v>424</v>
      </c>
      <c r="P37" s="816"/>
      <c r="Q37" s="11"/>
      <c r="R37" s="11"/>
      <c r="S37" s="11"/>
      <c r="T37" s="11"/>
    </row>
    <row r="38" spans="1:20" x14ac:dyDescent="0.2">
      <c r="A38" s="69">
        <v>1</v>
      </c>
      <c r="B38" s="818"/>
      <c r="C38" s="825"/>
      <c r="D38" s="819"/>
      <c r="E38" s="818"/>
      <c r="F38" s="819"/>
      <c r="G38" s="818"/>
      <c r="H38" s="819"/>
      <c r="I38" s="818"/>
      <c r="J38" s="819"/>
      <c r="K38" s="816"/>
      <c r="L38" s="816"/>
      <c r="M38" s="816"/>
      <c r="N38" s="816"/>
      <c r="O38" s="816"/>
      <c r="P38" s="816"/>
      <c r="Q38" s="11"/>
      <c r="R38" s="11"/>
      <c r="S38" s="11"/>
      <c r="T38" s="11"/>
    </row>
    <row r="39" spans="1:20" x14ac:dyDescent="0.2">
      <c r="A39" s="69">
        <v>2</v>
      </c>
      <c r="B39" s="818"/>
      <c r="C39" s="825"/>
      <c r="D39" s="819"/>
      <c r="E39" s="818"/>
      <c r="F39" s="819"/>
      <c r="G39" s="818"/>
      <c r="H39" s="819"/>
      <c r="I39" s="818"/>
      <c r="J39" s="819"/>
      <c r="K39" s="816"/>
      <c r="L39" s="816"/>
      <c r="M39" s="816"/>
      <c r="N39" s="816"/>
      <c r="O39" s="816"/>
      <c r="P39" s="816"/>
      <c r="Q39" s="11"/>
      <c r="R39" s="11"/>
      <c r="S39" s="11"/>
      <c r="T39" s="11"/>
    </row>
    <row r="40" spans="1:20" x14ac:dyDescent="0.2">
      <c r="A40" s="69">
        <v>3</v>
      </c>
      <c r="B40" s="818"/>
      <c r="C40" s="825"/>
      <c r="D40" s="819"/>
      <c r="E40" s="818"/>
      <c r="F40" s="819"/>
      <c r="G40" s="818"/>
      <c r="H40" s="819"/>
      <c r="I40" s="818"/>
      <c r="J40" s="819"/>
      <c r="K40" s="816"/>
      <c r="L40" s="816"/>
      <c r="M40" s="816"/>
      <c r="N40" s="816"/>
      <c r="O40" s="816"/>
      <c r="P40" s="816"/>
      <c r="Q40" s="11"/>
      <c r="R40" s="11"/>
      <c r="S40" s="11"/>
      <c r="T40" s="11"/>
    </row>
    <row r="41" spans="1:20" x14ac:dyDescent="0.2">
      <c r="A41" s="69">
        <v>4</v>
      </c>
      <c r="B41" s="828"/>
      <c r="C41" s="829"/>
      <c r="D41" s="830"/>
      <c r="E41" s="818"/>
      <c r="F41" s="819"/>
      <c r="G41" s="818"/>
      <c r="H41" s="819"/>
      <c r="I41" s="818"/>
      <c r="J41" s="819"/>
      <c r="K41" s="816"/>
      <c r="L41" s="816"/>
      <c r="M41" s="816"/>
      <c r="N41" s="816"/>
      <c r="O41" s="816"/>
      <c r="P41" s="816"/>
      <c r="Q41" s="11"/>
      <c r="R41" s="11"/>
      <c r="S41" s="11"/>
      <c r="T41" s="11"/>
    </row>
    <row r="44" spans="1:20" ht="13.9" customHeight="1" x14ac:dyDescent="0.25">
      <c r="A44" s="827" t="s">
        <v>179</v>
      </c>
      <c r="B44" s="827"/>
      <c r="C44" s="827"/>
      <c r="D44" s="827"/>
      <c r="E44" s="827"/>
      <c r="F44" s="827"/>
      <c r="G44" s="827"/>
      <c r="H44" s="827"/>
      <c r="I44" s="827"/>
    </row>
    <row r="45" spans="1:20" ht="13.9" customHeight="1" x14ac:dyDescent="0.25">
      <c r="A45" s="837" t="s">
        <v>56</v>
      </c>
      <c r="B45" s="837" t="s">
        <v>23</v>
      </c>
      <c r="C45" s="837"/>
      <c r="D45" s="837"/>
      <c r="E45" s="838" t="s">
        <v>24</v>
      </c>
      <c r="F45" s="838"/>
      <c r="G45" s="838"/>
      <c r="H45" s="839" t="s">
        <v>142</v>
      </c>
      <c r="I45"/>
    </row>
    <row r="46" spans="1:20" ht="15" x14ac:dyDescent="0.25">
      <c r="A46" s="837"/>
      <c r="B46" s="50" t="s">
        <v>171</v>
      </c>
      <c r="C46" s="73" t="s">
        <v>99</v>
      </c>
      <c r="D46" s="50" t="s">
        <v>18</v>
      </c>
      <c r="E46" s="50" t="s">
        <v>171</v>
      </c>
      <c r="F46" s="73" t="s">
        <v>99</v>
      </c>
      <c r="G46" s="50" t="s">
        <v>18</v>
      </c>
      <c r="H46" s="840"/>
      <c r="I46"/>
    </row>
    <row r="47" spans="1:20" ht="14.25" x14ac:dyDescent="0.2">
      <c r="A47" s="30" t="s">
        <v>840</v>
      </c>
      <c r="B47" s="334">
        <v>2.69</v>
      </c>
      <c r="C47" s="334">
        <v>2.21</v>
      </c>
      <c r="D47" s="335">
        <f>SUM(B47:C47)</f>
        <v>4.9000000000000004</v>
      </c>
      <c r="E47" s="336">
        <v>4.03</v>
      </c>
      <c r="F47" s="334">
        <v>2.68</v>
      </c>
      <c r="G47" s="334">
        <f>SUM(E47:F47)</f>
        <v>6.7100000000000009</v>
      </c>
      <c r="H47" s="53"/>
      <c r="I47"/>
    </row>
    <row r="48" spans="1:20" ht="15" x14ac:dyDescent="0.2">
      <c r="A48" s="30" t="s">
        <v>739</v>
      </c>
      <c r="B48" s="337">
        <v>2.98</v>
      </c>
      <c r="C48" s="337">
        <v>2.4500000000000002</v>
      </c>
      <c r="D48" s="337">
        <f>SUM(B48:C48)</f>
        <v>5.43</v>
      </c>
      <c r="E48" s="337">
        <v>4.47</v>
      </c>
      <c r="F48" s="337">
        <v>2.98</v>
      </c>
      <c r="G48" s="337">
        <f>SUM(E48:F48)</f>
        <v>7.4499999999999993</v>
      </c>
      <c r="H48" s="53"/>
      <c r="I48"/>
    </row>
    <row r="49" spans="1:20" ht="15" customHeight="1" x14ac:dyDescent="0.2">
      <c r="A49" s="812" t="s">
        <v>227</v>
      </c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</row>
    <row r="50" spans="1:20" ht="15" x14ac:dyDescent="0.25">
      <c r="A50" s="112"/>
      <c r="B50" s="248"/>
      <c r="C50" s="248"/>
      <c r="D50" s="12"/>
      <c r="E50" s="12"/>
      <c r="F50" s="249"/>
      <c r="G50" s="249"/>
      <c r="H50" s="249"/>
      <c r="I50"/>
    </row>
    <row r="51" spans="1:20" ht="15" x14ac:dyDescent="0.25">
      <c r="A51" s="31"/>
      <c r="B51" s="251"/>
      <c r="C51" s="251"/>
      <c r="D51" s="233"/>
      <c r="E51" s="233"/>
      <c r="F51" s="249"/>
      <c r="G51" s="249"/>
      <c r="H51" s="249"/>
      <c r="I51"/>
    </row>
    <row r="54" spans="1:20" s="15" customFormat="1" ht="12.75" customHeight="1" x14ac:dyDescent="0.2">
      <c r="A54" s="14"/>
      <c r="B54" s="14"/>
      <c r="C54" s="14"/>
      <c r="D54" s="14"/>
      <c r="E54" s="14"/>
      <c r="F54" s="14"/>
      <c r="G54" s="14"/>
      <c r="H54" s="569"/>
      <c r="I54" s="14"/>
      <c r="J54" s="810" t="s">
        <v>13</v>
      </c>
      <c r="K54" s="810"/>
      <c r="L54" s="810"/>
      <c r="M54" s="810"/>
      <c r="N54" s="810"/>
      <c r="O54" s="563"/>
      <c r="P54" s="563"/>
      <c r="Q54" s="563"/>
      <c r="R54" s="569"/>
      <c r="S54" s="569"/>
    </row>
    <row r="55" spans="1:20" s="15" customFormat="1" ht="12.75" customHeight="1" x14ac:dyDescent="0.25">
      <c r="A55" s="492" t="s">
        <v>12</v>
      </c>
      <c r="B55" s="563"/>
      <c r="C55" s="563"/>
      <c r="D55" s="563"/>
      <c r="E55" s="563"/>
      <c r="F55" s="563"/>
      <c r="G55" s="563"/>
      <c r="H55" s="563"/>
      <c r="I55" s="563"/>
      <c r="J55" s="810" t="s">
        <v>14</v>
      </c>
      <c r="K55" s="810"/>
      <c r="L55" s="810"/>
      <c r="M55" s="810"/>
      <c r="N55" s="810"/>
      <c r="O55" s="563"/>
      <c r="P55" s="563"/>
      <c r="Q55" s="563"/>
      <c r="R55" s="569"/>
      <c r="S55" s="569"/>
    </row>
    <row r="56" spans="1:20" s="15" customFormat="1" ht="13.15" customHeight="1" x14ac:dyDescent="0.2">
      <c r="A56" s="563"/>
      <c r="B56" s="563"/>
      <c r="C56" s="563"/>
      <c r="D56" s="563"/>
      <c r="E56" s="563"/>
      <c r="F56" s="563"/>
      <c r="G56" s="563"/>
      <c r="H56" s="563"/>
      <c r="I56" s="810" t="s">
        <v>918</v>
      </c>
      <c r="J56" s="810"/>
      <c r="K56" s="810"/>
      <c r="L56" s="810"/>
      <c r="M56" s="810"/>
      <c r="N56" s="810"/>
      <c r="O56" s="810"/>
      <c r="P56" s="563"/>
      <c r="Q56" s="563"/>
      <c r="R56" s="563"/>
      <c r="S56" s="563"/>
    </row>
    <row r="57" spans="1:20" ht="12.75" customHeight="1" x14ac:dyDescent="0.2">
      <c r="I57" s="811" t="s">
        <v>82</v>
      </c>
      <c r="J57" s="811"/>
      <c r="K57" s="811"/>
      <c r="L57" s="811"/>
      <c r="M57" s="811"/>
      <c r="N57" s="811"/>
      <c r="O57" s="811"/>
      <c r="P57" s="36"/>
      <c r="Q57" s="36"/>
    </row>
  </sheetData>
  <mergeCells count="183">
    <mergeCell ref="A3:S3"/>
    <mergeCell ref="H11:I11"/>
    <mergeCell ref="Q25:R25"/>
    <mergeCell ref="J13:K13"/>
    <mergeCell ref="R1:S1"/>
    <mergeCell ref="A2:S2"/>
    <mergeCell ref="C16:D16"/>
    <mergeCell ref="A16:B16"/>
    <mergeCell ref="A17:B17"/>
    <mergeCell ref="A6:B6"/>
    <mergeCell ref="A7:I7"/>
    <mergeCell ref="H1:I1"/>
    <mergeCell ref="J9:K9"/>
    <mergeCell ref="H9:I9"/>
    <mergeCell ref="F9:G9"/>
    <mergeCell ref="B12:C12"/>
    <mergeCell ref="H13:I13"/>
    <mergeCell ref="H12:I12"/>
    <mergeCell ref="D10:E10"/>
    <mergeCell ref="F10:G10"/>
    <mergeCell ref="B10:C10"/>
    <mergeCell ref="J12:K12"/>
    <mergeCell ref="D11:E11"/>
    <mergeCell ref="J10:K10"/>
    <mergeCell ref="H10:I10"/>
    <mergeCell ref="B11:C11"/>
    <mergeCell ref="B29:D29"/>
    <mergeCell ref="B13:C13"/>
    <mergeCell ref="M29:N29"/>
    <mergeCell ref="O29:P29"/>
    <mergeCell ref="O27:P27"/>
    <mergeCell ref="A5:S5"/>
    <mergeCell ref="B9:C9"/>
    <mergeCell ref="I25:J25"/>
    <mergeCell ref="I23:J23"/>
    <mergeCell ref="D9:E9"/>
    <mergeCell ref="B25:D25"/>
    <mergeCell ref="E24:F24"/>
    <mergeCell ref="B24:D24"/>
    <mergeCell ref="A22:A23"/>
    <mergeCell ref="A21:S21"/>
    <mergeCell ref="K23:L23"/>
    <mergeCell ref="O23:P23"/>
    <mergeCell ref="B22:D23"/>
    <mergeCell ref="E22:L22"/>
    <mergeCell ref="S24:T24"/>
    <mergeCell ref="G25:H25"/>
    <mergeCell ref="K25:L25"/>
    <mergeCell ref="M22:T22"/>
    <mergeCell ref="M25:N25"/>
    <mergeCell ref="Q23:R23"/>
    <mergeCell ref="I28:J28"/>
    <mergeCell ref="S27:T27"/>
    <mergeCell ref="M26:N26"/>
    <mergeCell ref="S26:T26"/>
    <mergeCell ref="I24:J24"/>
    <mergeCell ref="K24:L24"/>
    <mergeCell ref="Q26:R26"/>
    <mergeCell ref="O25:P25"/>
    <mergeCell ref="S25:T25"/>
    <mergeCell ref="S23:T23"/>
    <mergeCell ref="M24:N24"/>
    <mergeCell ref="O24:P24"/>
    <mergeCell ref="Q24:R24"/>
    <mergeCell ref="O26:P26"/>
    <mergeCell ref="I29:J29"/>
    <mergeCell ref="I26:J26"/>
    <mergeCell ref="I27:J27"/>
    <mergeCell ref="J11:K11"/>
    <mergeCell ref="A18:B18"/>
    <mergeCell ref="F11:G11"/>
    <mergeCell ref="K29:L29"/>
    <mergeCell ref="F13:G13"/>
    <mergeCell ref="D12:E12"/>
    <mergeCell ref="F12:G12"/>
    <mergeCell ref="D13:E13"/>
    <mergeCell ref="A15:G15"/>
    <mergeCell ref="K26:L26"/>
    <mergeCell ref="K28:L28"/>
    <mergeCell ref="K27:L27"/>
    <mergeCell ref="B30:D30"/>
    <mergeCell ref="E28:F28"/>
    <mergeCell ref="C17:D17"/>
    <mergeCell ref="C18:D18"/>
    <mergeCell ref="G28:H28"/>
    <mergeCell ref="G23:H23"/>
    <mergeCell ref="E29:F29"/>
    <mergeCell ref="B26:D26"/>
    <mergeCell ref="E30:F30"/>
    <mergeCell ref="E23:F23"/>
    <mergeCell ref="G29:H29"/>
    <mergeCell ref="B27:D27"/>
    <mergeCell ref="B28:D28"/>
    <mergeCell ref="E26:F26"/>
    <mergeCell ref="G26:H26"/>
    <mergeCell ref="E27:F27"/>
    <mergeCell ref="G27:H27"/>
    <mergeCell ref="G24:H24"/>
    <mergeCell ref="E25:F25"/>
    <mergeCell ref="S30:T30"/>
    <mergeCell ref="M23:N23"/>
    <mergeCell ref="Q27:R27"/>
    <mergeCell ref="M27:N27"/>
    <mergeCell ref="S28:T28"/>
    <mergeCell ref="Q28:R28"/>
    <mergeCell ref="Q29:R29"/>
    <mergeCell ref="S29:T29"/>
    <mergeCell ref="O28:P28"/>
    <mergeCell ref="M28:N28"/>
    <mergeCell ref="Q36:R36"/>
    <mergeCell ref="I31:J31"/>
    <mergeCell ref="G32:H32"/>
    <mergeCell ref="G31:H31"/>
    <mergeCell ref="G30:H30"/>
    <mergeCell ref="I30:J30"/>
    <mergeCell ref="O37:P37"/>
    <mergeCell ref="K38:L38"/>
    <mergeCell ref="M39:N39"/>
    <mergeCell ref="K37:L37"/>
    <mergeCell ref="K39:L39"/>
    <mergeCell ref="K32:L32"/>
    <mergeCell ref="M30:N30"/>
    <mergeCell ref="O30:P30"/>
    <mergeCell ref="Q30:R30"/>
    <mergeCell ref="K30:L30"/>
    <mergeCell ref="E32:F32"/>
    <mergeCell ref="I38:J38"/>
    <mergeCell ref="E38:F38"/>
    <mergeCell ref="O38:P38"/>
    <mergeCell ref="M32:N32"/>
    <mergeCell ref="O32:P32"/>
    <mergeCell ref="E36:J36"/>
    <mergeCell ref="G39:H39"/>
    <mergeCell ref="G37:H37"/>
    <mergeCell ref="O39:P39"/>
    <mergeCell ref="M38:N38"/>
    <mergeCell ref="E37:F37"/>
    <mergeCell ref="I39:J39"/>
    <mergeCell ref="A44:I44"/>
    <mergeCell ref="B40:D40"/>
    <mergeCell ref="B41:D41"/>
    <mergeCell ref="B36:D37"/>
    <mergeCell ref="B45:D45"/>
    <mergeCell ref="E45:G45"/>
    <mergeCell ref="H45:H46"/>
    <mergeCell ref="K36:P36"/>
    <mergeCell ref="G41:H41"/>
    <mergeCell ref="E41:F41"/>
    <mergeCell ref="M41:N41"/>
    <mergeCell ref="O41:P41"/>
    <mergeCell ref="K41:L41"/>
    <mergeCell ref="I41:J41"/>
    <mergeCell ref="E40:F40"/>
    <mergeCell ref="I40:J40"/>
    <mergeCell ref="G40:H40"/>
    <mergeCell ref="M40:N40"/>
    <mergeCell ref="O40:P40"/>
    <mergeCell ref="A45:A46"/>
    <mergeCell ref="M37:N37"/>
    <mergeCell ref="J54:N54"/>
    <mergeCell ref="J55:N55"/>
    <mergeCell ref="I56:O56"/>
    <mergeCell ref="I57:O57"/>
    <mergeCell ref="A49:T49"/>
    <mergeCell ref="E31:F31"/>
    <mergeCell ref="B34:H34"/>
    <mergeCell ref="K40:L40"/>
    <mergeCell ref="S36:T36"/>
    <mergeCell ref="I37:J37"/>
    <mergeCell ref="I32:J32"/>
    <mergeCell ref="M31:N31"/>
    <mergeCell ref="Q31:R31"/>
    <mergeCell ref="S31:T31"/>
    <mergeCell ref="O31:P31"/>
    <mergeCell ref="K31:L31"/>
    <mergeCell ref="S32:T32"/>
    <mergeCell ref="Q32:R32"/>
    <mergeCell ref="B32:D32"/>
    <mergeCell ref="B39:D39"/>
    <mergeCell ref="B31:D31"/>
    <mergeCell ref="B38:D38"/>
    <mergeCell ref="G38:H38"/>
    <mergeCell ref="E39:F3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1:O47"/>
  <sheetViews>
    <sheetView topLeftCell="A4" zoomScaleSheetLayoutView="100" workbookViewId="0">
      <selection activeCell="F6" sqref="F6:H6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77" customWidth="1"/>
    <col min="5" max="8" width="18.42578125" style="277" customWidth="1"/>
  </cols>
  <sheetData>
    <row r="1" spans="1:15" x14ac:dyDescent="0.2">
      <c r="H1" s="283" t="s">
        <v>510</v>
      </c>
    </row>
    <row r="2" spans="1:15" ht="18" x14ac:dyDescent="0.35">
      <c r="A2" s="922" t="s">
        <v>0</v>
      </c>
      <c r="B2" s="922"/>
      <c r="C2" s="922"/>
      <c r="D2" s="922"/>
      <c r="E2" s="922"/>
      <c r="F2" s="922"/>
      <c r="G2" s="922"/>
      <c r="H2" s="922"/>
      <c r="I2" s="223"/>
      <c r="J2" s="223"/>
      <c r="K2" s="223"/>
      <c r="L2" s="223"/>
      <c r="M2" s="223"/>
      <c r="N2" s="223"/>
      <c r="O2" s="223"/>
    </row>
    <row r="3" spans="1:15" ht="21" x14ac:dyDescent="0.35">
      <c r="A3" s="923" t="s">
        <v>738</v>
      </c>
      <c r="B3" s="923"/>
      <c r="C3" s="923"/>
      <c r="D3" s="923"/>
      <c r="E3" s="923"/>
      <c r="F3" s="923"/>
      <c r="G3" s="923"/>
      <c r="H3" s="923"/>
      <c r="I3" s="224"/>
      <c r="J3" s="224"/>
      <c r="K3" s="224"/>
      <c r="L3" s="224"/>
      <c r="M3" s="224"/>
      <c r="N3" s="224"/>
      <c r="O3" s="224"/>
    </row>
    <row r="4" spans="1:15" ht="15" x14ac:dyDescent="0.3">
      <c r="A4" s="196"/>
      <c r="B4" s="196"/>
      <c r="C4" s="196"/>
      <c r="D4" s="274"/>
      <c r="E4" s="274"/>
      <c r="F4" s="274"/>
      <c r="G4" s="274"/>
      <c r="H4" s="274"/>
      <c r="I4" s="196"/>
      <c r="J4" s="196"/>
      <c r="K4" s="196"/>
      <c r="L4" s="196"/>
      <c r="M4" s="196"/>
      <c r="N4" s="196"/>
      <c r="O4" s="196"/>
    </row>
    <row r="5" spans="1:15" ht="18" x14ac:dyDescent="0.35">
      <c r="A5" s="922" t="s">
        <v>509</v>
      </c>
      <c r="B5" s="922"/>
      <c r="C5" s="922"/>
      <c r="D5" s="922"/>
      <c r="E5" s="922"/>
      <c r="F5" s="922"/>
      <c r="G5" s="922"/>
      <c r="H5" s="922"/>
      <c r="I5" s="223"/>
      <c r="J5" s="223"/>
      <c r="K5" s="223"/>
      <c r="L5" s="223"/>
      <c r="M5" s="223"/>
      <c r="N5" s="223"/>
      <c r="O5" s="223"/>
    </row>
    <row r="6" spans="1:15" ht="15" x14ac:dyDescent="0.3">
      <c r="A6" s="197" t="s">
        <v>917</v>
      </c>
      <c r="B6" s="197" t="s">
        <v>916</v>
      </c>
      <c r="C6" s="196"/>
      <c r="D6" s="274"/>
      <c r="E6" s="274"/>
      <c r="F6" s="1015" t="s">
        <v>1186</v>
      </c>
      <c r="G6" s="1015"/>
      <c r="H6" s="1015"/>
      <c r="I6" s="196"/>
      <c r="J6" s="196"/>
      <c r="K6" s="196"/>
      <c r="L6" s="225"/>
      <c r="M6" s="225"/>
      <c r="N6" s="1013"/>
      <c r="O6" s="1013"/>
    </row>
    <row r="7" spans="1:15" ht="31.5" customHeight="1" x14ac:dyDescent="0.2">
      <c r="A7" s="985" t="s">
        <v>2</v>
      </c>
      <c r="B7" s="985" t="s">
        <v>3</v>
      </c>
      <c r="C7" s="1014" t="s">
        <v>386</v>
      </c>
      <c r="D7" s="1016" t="s">
        <v>488</v>
      </c>
      <c r="E7" s="1017"/>
      <c r="F7" s="1017"/>
      <c r="G7" s="1017"/>
      <c r="H7" s="1018"/>
    </row>
    <row r="8" spans="1:15" ht="34.5" customHeight="1" x14ac:dyDescent="0.2">
      <c r="A8" s="985"/>
      <c r="B8" s="985"/>
      <c r="C8" s="1014"/>
      <c r="D8" s="275" t="s">
        <v>489</v>
      </c>
      <c r="E8" s="275" t="s">
        <v>490</v>
      </c>
      <c r="F8" s="275" t="s">
        <v>491</v>
      </c>
      <c r="G8" s="275" t="s">
        <v>645</v>
      </c>
      <c r="H8" s="275" t="s">
        <v>45</v>
      </c>
    </row>
    <row r="9" spans="1:15" ht="15" x14ac:dyDescent="0.2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</row>
    <row r="10" spans="1:15" ht="15.75" x14ac:dyDescent="0.2">
      <c r="A10" s="8">
        <v>1</v>
      </c>
      <c r="B10" s="349" t="s">
        <v>890</v>
      </c>
      <c r="C10" s="213">
        <f>'AT-3'!F9</f>
        <v>1239</v>
      </c>
      <c r="D10" s="452">
        <v>78</v>
      </c>
      <c r="E10" s="213"/>
      <c r="F10" s="453">
        <f>C10-D10-H10-G10-E10</f>
        <v>1145</v>
      </c>
      <c r="G10" s="412">
        <v>0</v>
      </c>
      <c r="H10" s="452">
        <v>16</v>
      </c>
    </row>
    <row r="11" spans="1:15" ht="15.75" x14ac:dyDescent="0.2">
      <c r="A11" s="8">
        <v>2</v>
      </c>
      <c r="B11" s="349" t="s">
        <v>891</v>
      </c>
      <c r="C11" s="213">
        <f>'AT-3'!F10</f>
        <v>1830</v>
      </c>
      <c r="D11" s="452">
        <v>6</v>
      </c>
      <c r="E11" s="213"/>
      <c r="F11" s="453">
        <f t="shared" ref="F11:F36" si="0">C11-D11-H11-G11-E11</f>
        <v>1824</v>
      </c>
      <c r="G11" s="412">
        <v>0</v>
      </c>
      <c r="H11" s="452">
        <v>0</v>
      </c>
    </row>
    <row r="12" spans="1:15" ht="15.75" x14ac:dyDescent="0.2">
      <c r="A12" s="8">
        <v>3</v>
      </c>
      <c r="B12" s="349" t="s">
        <v>892</v>
      </c>
      <c r="C12" s="213">
        <f>'AT-3'!F11</f>
        <v>1964</v>
      </c>
      <c r="D12" s="452">
        <v>2</v>
      </c>
      <c r="E12" s="213"/>
      <c r="F12" s="453">
        <f t="shared" si="0"/>
        <v>1939</v>
      </c>
      <c r="G12" s="412">
        <v>0</v>
      </c>
      <c r="H12" s="452">
        <v>23</v>
      </c>
    </row>
    <row r="13" spans="1:15" ht="15.75" x14ac:dyDescent="0.2">
      <c r="A13" s="8">
        <v>4</v>
      </c>
      <c r="B13" s="349" t="s">
        <v>893</v>
      </c>
      <c r="C13" s="213">
        <f>'AT-3'!F12</f>
        <v>2194</v>
      </c>
      <c r="D13" s="452">
        <v>338</v>
      </c>
      <c r="E13" s="213"/>
      <c r="F13" s="453">
        <f t="shared" si="0"/>
        <v>1851</v>
      </c>
      <c r="G13" s="412">
        <v>0</v>
      </c>
      <c r="H13" s="452">
        <v>5</v>
      </c>
    </row>
    <row r="14" spans="1:15" ht="15.75" x14ac:dyDescent="0.2">
      <c r="A14" s="8">
        <v>5</v>
      </c>
      <c r="B14" s="349" t="s">
        <v>894</v>
      </c>
      <c r="C14" s="213">
        <f>'AT-3'!F13</f>
        <v>1131</v>
      </c>
      <c r="D14" s="452">
        <v>21</v>
      </c>
      <c r="E14" s="213"/>
      <c r="F14" s="453">
        <f t="shared" si="0"/>
        <v>1110</v>
      </c>
      <c r="G14" s="412">
        <v>0</v>
      </c>
      <c r="H14" s="452">
        <v>0</v>
      </c>
    </row>
    <row r="15" spans="1:15" ht="15.75" x14ac:dyDescent="0.2">
      <c r="A15" s="8">
        <v>6</v>
      </c>
      <c r="B15" s="349" t="s">
        <v>895</v>
      </c>
      <c r="C15" s="213">
        <f>'AT-3'!F14</f>
        <v>897</v>
      </c>
      <c r="D15" s="452">
        <v>0</v>
      </c>
      <c r="E15" s="213"/>
      <c r="F15" s="453">
        <f t="shared" si="0"/>
        <v>886</v>
      </c>
      <c r="G15" s="412">
        <v>0</v>
      </c>
      <c r="H15" s="452">
        <v>11</v>
      </c>
    </row>
    <row r="16" spans="1:15" ht="15.75" x14ac:dyDescent="0.2">
      <c r="A16" s="8">
        <v>7</v>
      </c>
      <c r="B16" s="349" t="s">
        <v>896</v>
      </c>
      <c r="C16" s="213">
        <f>'AT-3'!F15</f>
        <v>2496</v>
      </c>
      <c r="D16" s="452">
        <v>258</v>
      </c>
      <c r="E16" s="213"/>
      <c r="F16" s="453">
        <f t="shared" si="0"/>
        <v>2124</v>
      </c>
      <c r="G16" s="453">
        <v>111</v>
      </c>
      <c r="H16" s="452">
        <v>3</v>
      </c>
    </row>
    <row r="17" spans="1:10" ht="15.75" x14ac:dyDescent="0.2">
      <c r="A17" s="8">
        <v>8</v>
      </c>
      <c r="B17" s="349" t="s">
        <v>897</v>
      </c>
      <c r="C17" s="213">
        <f>'AT-3'!F16</f>
        <v>884</v>
      </c>
      <c r="D17" s="452">
        <v>849</v>
      </c>
      <c r="E17" s="213"/>
      <c r="F17" s="453">
        <f t="shared" si="0"/>
        <v>35</v>
      </c>
      <c r="G17" s="412">
        <v>0</v>
      </c>
      <c r="H17" s="452">
        <v>0</v>
      </c>
    </row>
    <row r="18" spans="1:10" ht="15.75" x14ac:dyDescent="0.2">
      <c r="A18" s="8">
        <v>9</v>
      </c>
      <c r="B18" s="349" t="s">
        <v>898</v>
      </c>
      <c r="C18" s="213">
        <f>'AT-3'!F17</f>
        <v>1336</v>
      </c>
      <c r="D18" s="452">
        <v>108</v>
      </c>
      <c r="E18" s="213"/>
      <c r="F18" s="453">
        <f t="shared" si="0"/>
        <v>1170</v>
      </c>
      <c r="G18" s="453">
        <v>56</v>
      </c>
      <c r="H18" s="452">
        <v>2</v>
      </c>
    </row>
    <row r="19" spans="1:10" ht="15.75" x14ac:dyDescent="0.2">
      <c r="A19" s="8">
        <v>10</v>
      </c>
      <c r="B19" s="349" t="s">
        <v>899</v>
      </c>
      <c r="C19" s="213">
        <f>'AT-3'!F18</f>
        <v>973</v>
      </c>
      <c r="D19" s="452">
        <v>97</v>
      </c>
      <c r="E19" s="213"/>
      <c r="F19" s="453">
        <f t="shared" si="0"/>
        <v>697</v>
      </c>
      <c r="G19" s="453">
        <v>176</v>
      </c>
      <c r="H19" s="452">
        <v>3</v>
      </c>
    </row>
    <row r="20" spans="1:10" ht="15.75" x14ac:dyDescent="0.2">
      <c r="A20" s="8">
        <v>11</v>
      </c>
      <c r="B20" s="349" t="s">
        <v>900</v>
      </c>
      <c r="C20" s="213">
        <f>'AT-3'!F19</f>
        <v>1432</v>
      </c>
      <c r="D20" s="452">
        <v>14</v>
      </c>
      <c r="E20" s="213"/>
      <c r="F20" s="453">
        <f t="shared" si="0"/>
        <v>1418</v>
      </c>
      <c r="G20" s="412">
        <v>0</v>
      </c>
      <c r="H20" s="452">
        <v>0</v>
      </c>
    </row>
    <row r="21" spans="1:10" ht="15.75" x14ac:dyDescent="0.2">
      <c r="A21" s="8">
        <v>12</v>
      </c>
      <c r="B21" s="349" t="s">
        <v>901</v>
      </c>
      <c r="C21" s="213">
        <f>'AT-3'!F20</f>
        <v>2344</v>
      </c>
      <c r="D21" s="450">
        <v>46</v>
      </c>
      <c r="E21" s="201"/>
      <c r="F21" s="453">
        <f t="shared" si="0"/>
        <v>2296</v>
      </c>
      <c r="G21" s="412">
        <v>0</v>
      </c>
      <c r="H21" s="450">
        <v>2</v>
      </c>
    </row>
    <row r="22" spans="1:10" ht="15.75" x14ac:dyDescent="0.2">
      <c r="A22" s="8">
        <v>13</v>
      </c>
      <c r="B22" s="349" t="s">
        <v>902</v>
      </c>
      <c r="C22" s="213">
        <f>'AT-3'!F21</f>
        <v>2268</v>
      </c>
      <c r="D22" s="450">
        <v>19</v>
      </c>
      <c r="E22" s="201"/>
      <c r="F22" s="453">
        <f t="shared" si="0"/>
        <v>2249</v>
      </c>
      <c r="G22" s="412">
        <v>0</v>
      </c>
      <c r="H22" s="450">
        <v>0</v>
      </c>
    </row>
    <row r="23" spans="1:10" ht="15.75" x14ac:dyDescent="0.2">
      <c r="A23" s="8">
        <v>14</v>
      </c>
      <c r="B23" s="349" t="s">
        <v>903</v>
      </c>
      <c r="C23" s="213">
        <f>'AT-3'!F22</f>
        <v>2212</v>
      </c>
      <c r="D23" s="450">
        <v>50</v>
      </c>
      <c r="E23" s="201"/>
      <c r="F23" s="453">
        <f t="shared" si="0"/>
        <v>2162</v>
      </c>
      <c r="G23" s="412">
        <v>0</v>
      </c>
      <c r="H23" s="450">
        <v>0</v>
      </c>
    </row>
    <row r="24" spans="1:10" ht="15.75" x14ac:dyDescent="0.2">
      <c r="A24" s="8">
        <v>15</v>
      </c>
      <c r="B24" s="349" t="s">
        <v>904</v>
      </c>
      <c r="C24" s="213">
        <f>'AT-3'!F23</f>
        <v>1482</v>
      </c>
      <c r="D24" s="450">
        <v>42</v>
      </c>
      <c r="E24" s="201"/>
      <c r="F24" s="453">
        <f t="shared" si="0"/>
        <v>1440</v>
      </c>
      <c r="G24" s="412">
        <v>0</v>
      </c>
      <c r="H24" s="450">
        <v>0</v>
      </c>
    </row>
    <row r="25" spans="1:10" ht="15.75" x14ac:dyDescent="0.2">
      <c r="A25" s="8">
        <v>16</v>
      </c>
      <c r="B25" s="349" t="s">
        <v>905</v>
      </c>
      <c r="C25" s="213">
        <f>'AT-3'!F24</f>
        <v>1833</v>
      </c>
      <c r="D25" s="450">
        <v>13</v>
      </c>
      <c r="E25" s="201"/>
      <c r="F25" s="453">
        <f t="shared" si="0"/>
        <v>1561</v>
      </c>
      <c r="G25" s="412">
        <v>0</v>
      </c>
      <c r="H25" s="450">
        <v>259</v>
      </c>
      <c r="J25">
        <f>D25-G25</f>
        <v>13</v>
      </c>
    </row>
    <row r="26" spans="1:10" ht="15.75" x14ac:dyDescent="0.2">
      <c r="A26" s="8">
        <v>17</v>
      </c>
      <c r="B26" s="349" t="s">
        <v>906</v>
      </c>
      <c r="C26" s="213">
        <f>'AT-3'!F25</f>
        <v>2019</v>
      </c>
      <c r="D26" s="450">
        <v>162</v>
      </c>
      <c r="E26" s="201"/>
      <c r="F26" s="453">
        <f t="shared" si="0"/>
        <v>1856</v>
      </c>
      <c r="G26" s="412">
        <v>0</v>
      </c>
      <c r="H26" s="450">
        <v>1</v>
      </c>
    </row>
    <row r="27" spans="1:10" ht="15.75" x14ac:dyDescent="0.2">
      <c r="A27" s="8">
        <v>18</v>
      </c>
      <c r="B27" s="349" t="s">
        <v>907</v>
      </c>
      <c r="C27" s="213">
        <f>'AT-3'!F26</f>
        <v>1386</v>
      </c>
      <c r="D27" s="450">
        <v>1382</v>
      </c>
      <c r="E27" s="201"/>
      <c r="F27" s="453">
        <f t="shared" si="0"/>
        <v>4</v>
      </c>
      <c r="G27" s="412">
        <v>0</v>
      </c>
      <c r="H27" s="450">
        <v>0</v>
      </c>
    </row>
    <row r="28" spans="1:10" ht="15.75" x14ac:dyDescent="0.2">
      <c r="A28" s="8">
        <v>19</v>
      </c>
      <c r="B28" s="349" t="s">
        <v>908</v>
      </c>
      <c r="C28" s="213">
        <f>'AT-3'!F27</f>
        <v>1809</v>
      </c>
      <c r="D28" s="450">
        <v>23</v>
      </c>
      <c r="E28" s="201"/>
      <c r="F28" s="453">
        <f t="shared" si="0"/>
        <v>1786</v>
      </c>
      <c r="G28" s="412">
        <v>0</v>
      </c>
      <c r="H28" s="450">
        <v>0</v>
      </c>
    </row>
    <row r="29" spans="1:10" ht="15.75" x14ac:dyDescent="0.2">
      <c r="A29" s="8">
        <v>20</v>
      </c>
      <c r="B29" s="349" t="s">
        <v>909</v>
      </c>
      <c r="C29" s="213">
        <f>'AT-3'!F28</f>
        <v>941</v>
      </c>
      <c r="D29" s="450">
        <v>135</v>
      </c>
      <c r="E29" s="201"/>
      <c r="F29" s="453">
        <f t="shared" si="0"/>
        <v>806</v>
      </c>
      <c r="G29" s="412">
        <v>0</v>
      </c>
      <c r="H29" s="450">
        <v>0</v>
      </c>
    </row>
    <row r="30" spans="1:10" ht="15.75" x14ac:dyDescent="0.2">
      <c r="A30" s="8">
        <v>21</v>
      </c>
      <c r="B30" s="349" t="s">
        <v>910</v>
      </c>
      <c r="C30" s="213">
        <f>'AT-3'!F29</f>
        <v>568</v>
      </c>
      <c r="D30" s="450">
        <v>1</v>
      </c>
      <c r="E30" s="201"/>
      <c r="F30" s="453">
        <f t="shared" si="0"/>
        <v>567</v>
      </c>
      <c r="G30" s="412">
        <v>0</v>
      </c>
      <c r="H30" s="450">
        <v>0</v>
      </c>
    </row>
    <row r="31" spans="1:10" ht="15.75" x14ac:dyDescent="0.2">
      <c r="A31" s="8">
        <v>22</v>
      </c>
      <c r="B31" s="349" t="s">
        <v>911</v>
      </c>
      <c r="C31" s="213">
        <f>'AT-3'!F30</f>
        <v>2905</v>
      </c>
      <c r="D31" s="450">
        <v>11</v>
      </c>
      <c r="E31" s="201"/>
      <c r="F31" s="453">
        <f t="shared" si="0"/>
        <v>2894</v>
      </c>
      <c r="G31" s="412">
        <v>0</v>
      </c>
      <c r="H31" s="450">
        <v>0</v>
      </c>
    </row>
    <row r="32" spans="1:10" ht="15.75" x14ac:dyDescent="0.2">
      <c r="A32" s="8">
        <v>23</v>
      </c>
      <c r="B32" s="349" t="s">
        <v>912</v>
      </c>
      <c r="C32" s="213">
        <f>'AT-3'!F31</f>
        <v>1279</v>
      </c>
      <c r="D32" s="450">
        <v>53</v>
      </c>
      <c r="E32" s="201"/>
      <c r="F32" s="453">
        <f t="shared" si="0"/>
        <v>1007</v>
      </c>
      <c r="G32" s="412">
        <v>216</v>
      </c>
      <c r="H32" s="450">
        <v>3</v>
      </c>
      <c r="J32">
        <f>D32-G32</f>
        <v>-163</v>
      </c>
    </row>
    <row r="33" spans="1:10" ht="15.75" x14ac:dyDescent="0.2">
      <c r="A33" s="8">
        <v>24</v>
      </c>
      <c r="B33" s="349" t="s">
        <v>913</v>
      </c>
      <c r="C33" s="213">
        <f>'AT-3'!F32</f>
        <v>2655</v>
      </c>
      <c r="D33" s="450">
        <v>151</v>
      </c>
      <c r="E33" s="201"/>
      <c r="F33" s="453">
        <f t="shared" si="0"/>
        <v>2504</v>
      </c>
      <c r="G33" s="412">
        <v>0</v>
      </c>
      <c r="H33" s="450">
        <v>0</v>
      </c>
    </row>
    <row r="34" spans="1:10" ht="15.75" x14ac:dyDescent="0.2">
      <c r="A34" s="8">
        <v>25</v>
      </c>
      <c r="B34" s="349" t="s">
        <v>919</v>
      </c>
      <c r="C34" s="213">
        <f>'AT-3'!F33</f>
        <v>1929</v>
      </c>
      <c r="D34" s="451">
        <v>40</v>
      </c>
      <c r="E34" s="214"/>
      <c r="F34" s="453">
        <f t="shared" si="0"/>
        <v>1767</v>
      </c>
      <c r="G34" s="454">
        <v>122</v>
      </c>
      <c r="H34" s="451">
        <v>0</v>
      </c>
      <c r="J34">
        <f>D34-G34</f>
        <v>-82</v>
      </c>
    </row>
    <row r="35" spans="1:10" ht="15" customHeight="1" x14ac:dyDescent="0.2">
      <c r="A35" s="8">
        <v>26</v>
      </c>
      <c r="B35" s="349" t="s">
        <v>914</v>
      </c>
      <c r="C35" s="213">
        <f>'AT-3'!F34</f>
        <v>1004</v>
      </c>
      <c r="D35" s="451">
        <v>1</v>
      </c>
      <c r="E35" s="214"/>
      <c r="F35" s="453">
        <f t="shared" si="0"/>
        <v>1003</v>
      </c>
      <c r="G35" s="454">
        <v>0</v>
      </c>
      <c r="H35" s="451">
        <v>0</v>
      </c>
    </row>
    <row r="36" spans="1:10" ht="15" customHeight="1" x14ac:dyDescent="0.2">
      <c r="A36" s="8">
        <v>27</v>
      </c>
      <c r="B36" s="349" t="s">
        <v>915</v>
      </c>
      <c r="C36" s="213">
        <f>'AT-3'!F35</f>
        <v>1976</v>
      </c>
      <c r="D36" s="451">
        <v>49</v>
      </c>
      <c r="E36" s="134"/>
      <c r="F36" s="453">
        <f t="shared" si="0"/>
        <v>1926</v>
      </c>
      <c r="G36" s="454">
        <v>0</v>
      </c>
      <c r="H36" s="451">
        <v>1</v>
      </c>
    </row>
    <row r="37" spans="1:10" ht="15" customHeight="1" x14ac:dyDescent="0.2">
      <c r="A37" s="138" t="s">
        <v>18</v>
      </c>
      <c r="B37" s="138"/>
      <c r="C37" s="220">
        <f t="shared" ref="C37:H37" si="1">SUM(C10:C36)</f>
        <v>44986</v>
      </c>
      <c r="D37" s="451">
        <f t="shared" si="1"/>
        <v>3949</v>
      </c>
      <c r="E37" s="451">
        <f t="shared" si="1"/>
        <v>0</v>
      </c>
      <c r="F37" s="451">
        <f t="shared" si="1"/>
        <v>40027</v>
      </c>
      <c r="G37" s="451">
        <f t="shared" si="1"/>
        <v>681</v>
      </c>
      <c r="H37" s="451">
        <f t="shared" si="1"/>
        <v>329</v>
      </c>
    </row>
    <row r="38" spans="1:10" ht="15" customHeight="1" x14ac:dyDescent="0.2">
      <c r="A38" s="203"/>
      <c r="B38" s="203"/>
      <c r="C38" s="203"/>
      <c r="D38" s="204"/>
      <c r="E38" s="204"/>
      <c r="F38" s="204"/>
      <c r="G38" s="204"/>
      <c r="H38" s="204"/>
    </row>
    <row r="39" spans="1:10" ht="15" customHeight="1" x14ac:dyDescent="0.2">
      <c r="A39" s="203"/>
      <c r="B39" s="203"/>
      <c r="C39" s="203"/>
      <c r="D39" s="204"/>
      <c r="E39" s="204"/>
      <c r="F39" s="204"/>
      <c r="G39" s="204"/>
      <c r="H39" s="204"/>
    </row>
    <row r="40" spans="1:10" s="488" customFormat="1" ht="15" customHeight="1" x14ac:dyDescent="0.2">
      <c r="A40" s="203"/>
      <c r="B40" s="203"/>
      <c r="C40" s="203"/>
      <c r="D40" s="215"/>
      <c r="E40" s="215"/>
      <c r="F40" s="215"/>
      <c r="G40" s="215"/>
      <c r="H40" s="215"/>
      <c r="I40" s="215"/>
    </row>
    <row r="41" spans="1:10" s="488" customFormat="1" x14ac:dyDescent="0.2">
      <c r="A41" s="203"/>
      <c r="C41" s="203"/>
      <c r="D41" s="215"/>
      <c r="E41" s="215"/>
      <c r="F41" s="215"/>
      <c r="G41" s="215"/>
      <c r="H41" s="215"/>
      <c r="I41" s="215"/>
    </row>
    <row r="42" spans="1:10" s="488" customFormat="1" x14ac:dyDescent="0.2">
      <c r="D42" s="215"/>
      <c r="E42" s="215"/>
      <c r="F42" s="215"/>
      <c r="G42" s="215"/>
      <c r="H42" s="215"/>
      <c r="I42" s="215"/>
    </row>
    <row r="43" spans="1:10" s="488" customFormat="1" x14ac:dyDescent="0.2">
      <c r="D43" s="207"/>
      <c r="E43" s="207"/>
      <c r="F43" s="207"/>
      <c r="G43" s="207"/>
      <c r="H43" s="207"/>
      <c r="I43" s="203"/>
    </row>
    <row r="44" spans="1:10" s="637" customFormat="1" x14ac:dyDescent="0.2">
      <c r="D44" s="810" t="s">
        <v>13</v>
      </c>
      <c r="E44" s="810"/>
      <c r="F44" s="810"/>
      <c r="G44" s="810"/>
      <c r="H44" s="810"/>
    </row>
    <row r="45" spans="1:10" s="637" customFormat="1" x14ac:dyDescent="0.2">
      <c r="D45" s="810" t="s">
        <v>14</v>
      </c>
      <c r="E45" s="810"/>
      <c r="F45" s="810"/>
      <c r="G45" s="810"/>
      <c r="H45" s="810"/>
    </row>
    <row r="46" spans="1:10" s="637" customFormat="1" x14ac:dyDescent="0.2">
      <c r="D46" s="810" t="s">
        <v>918</v>
      </c>
      <c r="E46" s="810"/>
      <c r="F46" s="810"/>
      <c r="G46" s="810"/>
      <c r="H46" s="810"/>
    </row>
    <row r="47" spans="1:10" s="637" customFormat="1" ht="15" x14ac:dyDescent="0.25">
      <c r="A47" s="492" t="s">
        <v>12</v>
      </c>
      <c r="D47" s="657"/>
      <c r="E47" s="207" t="s">
        <v>82</v>
      </c>
      <c r="F47" s="207"/>
      <c r="G47" s="207"/>
      <c r="H47" s="207"/>
    </row>
  </sheetData>
  <mergeCells count="12">
    <mergeCell ref="D44:H44"/>
    <mergeCell ref="D45:H45"/>
    <mergeCell ref="D46:H46"/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1:O45"/>
  <sheetViews>
    <sheetView topLeftCell="A4" zoomScaleSheetLayoutView="90" workbookViewId="0">
      <selection activeCell="L5" sqref="L5:N5"/>
    </sheetView>
  </sheetViews>
  <sheetFormatPr defaultRowHeight="12.75" x14ac:dyDescent="0.2"/>
  <cols>
    <col min="1" max="1" width="9.140625" style="472"/>
    <col min="2" max="2" width="16" style="472" customWidth="1"/>
    <col min="3" max="3" width="16.7109375" style="472" customWidth="1"/>
    <col min="4" max="4" width="9.42578125" style="472" customWidth="1"/>
    <col min="5" max="5" width="9" style="472" customWidth="1"/>
    <col min="6" max="6" width="11.5703125" style="472" customWidth="1"/>
    <col min="7" max="8" width="10.42578125" style="472" customWidth="1"/>
    <col min="9" max="10" width="10.42578125" style="485" customWidth="1"/>
    <col min="11" max="11" width="10.5703125" style="472" customWidth="1"/>
    <col min="12" max="12" width="10.42578125" style="472" customWidth="1"/>
    <col min="13" max="13" width="11.5703125" style="472" customWidth="1"/>
    <col min="14" max="14" width="13" style="472" customWidth="1"/>
    <col min="15" max="257" width="9.140625" style="472"/>
    <col min="258" max="258" width="16" style="472" customWidth="1"/>
    <col min="259" max="259" width="16.7109375" style="472" customWidth="1"/>
    <col min="260" max="260" width="9.42578125" style="472" customWidth="1"/>
    <col min="261" max="261" width="9" style="472" customWidth="1"/>
    <col min="262" max="262" width="11.5703125" style="472" customWidth="1"/>
    <col min="263" max="266" width="10.42578125" style="472" customWidth="1"/>
    <col min="267" max="267" width="10.5703125" style="472" customWidth="1"/>
    <col min="268" max="268" width="10.42578125" style="472" customWidth="1"/>
    <col min="269" max="269" width="11.5703125" style="472" customWidth="1"/>
    <col min="270" max="270" width="13" style="472" customWidth="1"/>
    <col min="271" max="513" width="9.140625" style="472"/>
    <col min="514" max="514" width="16" style="472" customWidth="1"/>
    <col min="515" max="515" width="16.7109375" style="472" customWidth="1"/>
    <col min="516" max="516" width="9.42578125" style="472" customWidth="1"/>
    <col min="517" max="517" width="9" style="472" customWidth="1"/>
    <col min="518" max="518" width="11.5703125" style="472" customWidth="1"/>
    <col min="519" max="522" width="10.42578125" style="472" customWidth="1"/>
    <col min="523" max="523" width="10.5703125" style="472" customWidth="1"/>
    <col min="524" max="524" width="10.42578125" style="472" customWidth="1"/>
    <col min="525" max="525" width="11.5703125" style="472" customWidth="1"/>
    <col min="526" max="526" width="13" style="472" customWidth="1"/>
    <col min="527" max="769" width="9.140625" style="472"/>
    <col min="770" max="770" width="16" style="472" customWidth="1"/>
    <col min="771" max="771" width="16.7109375" style="472" customWidth="1"/>
    <col min="772" max="772" width="9.42578125" style="472" customWidth="1"/>
    <col min="773" max="773" width="9" style="472" customWidth="1"/>
    <col min="774" max="774" width="11.5703125" style="472" customWidth="1"/>
    <col min="775" max="778" width="10.42578125" style="472" customWidth="1"/>
    <col min="779" max="779" width="10.5703125" style="472" customWidth="1"/>
    <col min="780" max="780" width="10.42578125" style="472" customWidth="1"/>
    <col min="781" max="781" width="11.5703125" style="472" customWidth="1"/>
    <col min="782" max="782" width="13" style="472" customWidth="1"/>
    <col min="783" max="1025" width="9.140625" style="472"/>
    <col min="1026" max="1026" width="16" style="472" customWidth="1"/>
    <col min="1027" max="1027" width="16.7109375" style="472" customWidth="1"/>
    <col min="1028" max="1028" width="9.42578125" style="472" customWidth="1"/>
    <col min="1029" max="1029" width="9" style="472" customWidth="1"/>
    <col min="1030" max="1030" width="11.5703125" style="472" customWidth="1"/>
    <col min="1031" max="1034" width="10.42578125" style="472" customWidth="1"/>
    <col min="1035" max="1035" width="10.5703125" style="472" customWidth="1"/>
    <col min="1036" max="1036" width="10.42578125" style="472" customWidth="1"/>
    <col min="1037" max="1037" width="11.5703125" style="472" customWidth="1"/>
    <col min="1038" max="1038" width="13" style="472" customWidth="1"/>
    <col min="1039" max="1281" width="9.140625" style="472"/>
    <col min="1282" max="1282" width="16" style="472" customWidth="1"/>
    <col min="1283" max="1283" width="16.7109375" style="472" customWidth="1"/>
    <col min="1284" max="1284" width="9.42578125" style="472" customWidth="1"/>
    <col min="1285" max="1285" width="9" style="472" customWidth="1"/>
    <col min="1286" max="1286" width="11.5703125" style="472" customWidth="1"/>
    <col min="1287" max="1290" width="10.42578125" style="472" customWidth="1"/>
    <col min="1291" max="1291" width="10.5703125" style="472" customWidth="1"/>
    <col min="1292" max="1292" width="10.42578125" style="472" customWidth="1"/>
    <col min="1293" max="1293" width="11.5703125" style="472" customWidth="1"/>
    <col min="1294" max="1294" width="13" style="472" customWidth="1"/>
    <col min="1295" max="1537" width="9.140625" style="472"/>
    <col min="1538" max="1538" width="16" style="472" customWidth="1"/>
    <col min="1539" max="1539" width="16.7109375" style="472" customWidth="1"/>
    <col min="1540" max="1540" width="9.42578125" style="472" customWidth="1"/>
    <col min="1541" max="1541" width="9" style="472" customWidth="1"/>
    <col min="1542" max="1542" width="11.5703125" style="472" customWidth="1"/>
    <col min="1543" max="1546" width="10.42578125" style="472" customWidth="1"/>
    <col min="1547" max="1547" width="10.5703125" style="472" customWidth="1"/>
    <col min="1548" max="1548" width="10.42578125" style="472" customWidth="1"/>
    <col min="1549" max="1549" width="11.5703125" style="472" customWidth="1"/>
    <col min="1550" max="1550" width="13" style="472" customWidth="1"/>
    <col min="1551" max="1793" width="9.140625" style="472"/>
    <col min="1794" max="1794" width="16" style="472" customWidth="1"/>
    <col min="1795" max="1795" width="16.7109375" style="472" customWidth="1"/>
    <col min="1796" max="1796" width="9.42578125" style="472" customWidth="1"/>
    <col min="1797" max="1797" width="9" style="472" customWidth="1"/>
    <col min="1798" max="1798" width="11.5703125" style="472" customWidth="1"/>
    <col min="1799" max="1802" width="10.42578125" style="472" customWidth="1"/>
    <col min="1803" max="1803" width="10.5703125" style="472" customWidth="1"/>
    <col min="1804" max="1804" width="10.42578125" style="472" customWidth="1"/>
    <col min="1805" max="1805" width="11.5703125" style="472" customWidth="1"/>
    <col min="1806" max="1806" width="13" style="472" customWidth="1"/>
    <col min="1807" max="2049" width="9.140625" style="472"/>
    <col min="2050" max="2050" width="16" style="472" customWidth="1"/>
    <col min="2051" max="2051" width="16.7109375" style="472" customWidth="1"/>
    <col min="2052" max="2052" width="9.42578125" style="472" customWidth="1"/>
    <col min="2053" max="2053" width="9" style="472" customWidth="1"/>
    <col min="2054" max="2054" width="11.5703125" style="472" customWidth="1"/>
    <col min="2055" max="2058" width="10.42578125" style="472" customWidth="1"/>
    <col min="2059" max="2059" width="10.5703125" style="472" customWidth="1"/>
    <col min="2060" max="2060" width="10.42578125" style="472" customWidth="1"/>
    <col min="2061" max="2061" width="11.5703125" style="472" customWidth="1"/>
    <col min="2062" max="2062" width="13" style="472" customWidth="1"/>
    <col min="2063" max="2305" width="9.140625" style="472"/>
    <col min="2306" max="2306" width="16" style="472" customWidth="1"/>
    <col min="2307" max="2307" width="16.7109375" style="472" customWidth="1"/>
    <col min="2308" max="2308" width="9.42578125" style="472" customWidth="1"/>
    <col min="2309" max="2309" width="9" style="472" customWidth="1"/>
    <col min="2310" max="2310" width="11.5703125" style="472" customWidth="1"/>
    <col min="2311" max="2314" width="10.42578125" style="472" customWidth="1"/>
    <col min="2315" max="2315" width="10.5703125" style="472" customWidth="1"/>
    <col min="2316" max="2316" width="10.42578125" style="472" customWidth="1"/>
    <col min="2317" max="2317" width="11.5703125" style="472" customWidth="1"/>
    <col min="2318" max="2318" width="13" style="472" customWidth="1"/>
    <col min="2319" max="2561" width="9.140625" style="472"/>
    <col min="2562" max="2562" width="16" style="472" customWidth="1"/>
    <col min="2563" max="2563" width="16.7109375" style="472" customWidth="1"/>
    <col min="2564" max="2564" width="9.42578125" style="472" customWidth="1"/>
    <col min="2565" max="2565" width="9" style="472" customWidth="1"/>
    <col min="2566" max="2566" width="11.5703125" style="472" customWidth="1"/>
    <col min="2567" max="2570" width="10.42578125" style="472" customWidth="1"/>
    <col min="2571" max="2571" width="10.5703125" style="472" customWidth="1"/>
    <col min="2572" max="2572" width="10.42578125" style="472" customWidth="1"/>
    <col min="2573" max="2573" width="11.5703125" style="472" customWidth="1"/>
    <col min="2574" max="2574" width="13" style="472" customWidth="1"/>
    <col min="2575" max="2817" width="9.140625" style="472"/>
    <col min="2818" max="2818" width="16" style="472" customWidth="1"/>
    <col min="2819" max="2819" width="16.7109375" style="472" customWidth="1"/>
    <col min="2820" max="2820" width="9.42578125" style="472" customWidth="1"/>
    <col min="2821" max="2821" width="9" style="472" customWidth="1"/>
    <col min="2822" max="2822" width="11.5703125" style="472" customWidth="1"/>
    <col min="2823" max="2826" width="10.42578125" style="472" customWidth="1"/>
    <col min="2827" max="2827" width="10.5703125" style="472" customWidth="1"/>
    <col min="2828" max="2828" width="10.42578125" style="472" customWidth="1"/>
    <col min="2829" max="2829" width="11.5703125" style="472" customWidth="1"/>
    <col min="2830" max="2830" width="13" style="472" customWidth="1"/>
    <col min="2831" max="3073" width="9.140625" style="472"/>
    <col min="3074" max="3074" width="16" style="472" customWidth="1"/>
    <col min="3075" max="3075" width="16.7109375" style="472" customWidth="1"/>
    <col min="3076" max="3076" width="9.42578125" style="472" customWidth="1"/>
    <col min="3077" max="3077" width="9" style="472" customWidth="1"/>
    <col min="3078" max="3078" width="11.5703125" style="472" customWidth="1"/>
    <col min="3079" max="3082" width="10.42578125" style="472" customWidth="1"/>
    <col min="3083" max="3083" width="10.5703125" style="472" customWidth="1"/>
    <col min="3084" max="3084" width="10.42578125" style="472" customWidth="1"/>
    <col min="3085" max="3085" width="11.5703125" style="472" customWidth="1"/>
    <col min="3086" max="3086" width="13" style="472" customWidth="1"/>
    <col min="3087" max="3329" width="9.140625" style="472"/>
    <col min="3330" max="3330" width="16" style="472" customWidth="1"/>
    <col min="3331" max="3331" width="16.7109375" style="472" customWidth="1"/>
    <col min="3332" max="3332" width="9.42578125" style="472" customWidth="1"/>
    <col min="3333" max="3333" width="9" style="472" customWidth="1"/>
    <col min="3334" max="3334" width="11.5703125" style="472" customWidth="1"/>
    <col min="3335" max="3338" width="10.42578125" style="472" customWidth="1"/>
    <col min="3339" max="3339" width="10.5703125" style="472" customWidth="1"/>
    <col min="3340" max="3340" width="10.42578125" style="472" customWidth="1"/>
    <col min="3341" max="3341" width="11.5703125" style="472" customWidth="1"/>
    <col min="3342" max="3342" width="13" style="472" customWidth="1"/>
    <col min="3343" max="3585" width="9.140625" style="472"/>
    <col min="3586" max="3586" width="16" style="472" customWidth="1"/>
    <col min="3587" max="3587" width="16.7109375" style="472" customWidth="1"/>
    <col min="3588" max="3588" width="9.42578125" style="472" customWidth="1"/>
    <col min="3589" max="3589" width="9" style="472" customWidth="1"/>
    <col min="3590" max="3590" width="11.5703125" style="472" customWidth="1"/>
    <col min="3591" max="3594" width="10.42578125" style="472" customWidth="1"/>
    <col min="3595" max="3595" width="10.5703125" style="472" customWidth="1"/>
    <col min="3596" max="3596" width="10.42578125" style="472" customWidth="1"/>
    <col min="3597" max="3597" width="11.5703125" style="472" customWidth="1"/>
    <col min="3598" max="3598" width="13" style="472" customWidth="1"/>
    <col min="3599" max="3841" width="9.140625" style="472"/>
    <col min="3842" max="3842" width="16" style="472" customWidth="1"/>
    <col min="3843" max="3843" width="16.7109375" style="472" customWidth="1"/>
    <col min="3844" max="3844" width="9.42578125" style="472" customWidth="1"/>
    <col min="3845" max="3845" width="9" style="472" customWidth="1"/>
    <col min="3846" max="3846" width="11.5703125" style="472" customWidth="1"/>
    <col min="3847" max="3850" width="10.42578125" style="472" customWidth="1"/>
    <col min="3851" max="3851" width="10.5703125" style="472" customWidth="1"/>
    <col min="3852" max="3852" width="10.42578125" style="472" customWidth="1"/>
    <col min="3853" max="3853" width="11.5703125" style="472" customWidth="1"/>
    <col min="3854" max="3854" width="13" style="472" customWidth="1"/>
    <col min="3855" max="4097" width="9.140625" style="472"/>
    <col min="4098" max="4098" width="16" style="472" customWidth="1"/>
    <col min="4099" max="4099" width="16.7109375" style="472" customWidth="1"/>
    <col min="4100" max="4100" width="9.42578125" style="472" customWidth="1"/>
    <col min="4101" max="4101" width="9" style="472" customWidth="1"/>
    <col min="4102" max="4102" width="11.5703125" style="472" customWidth="1"/>
    <col min="4103" max="4106" width="10.42578125" style="472" customWidth="1"/>
    <col min="4107" max="4107" width="10.5703125" style="472" customWidth="1"/>
    <col min="4108" max="4108" width="10.42578125" style="472" customWidth="1"/>
    <col min="4109" max="4109" width="11.5703125" style="472" customWidth="1"/>
    <col min="4110" max="4110" width="13" style="472" customWidth="1"/>
    <col min="4111" max="4353" width="9.140625" style="472"/>
    <col min="4354" max="4354" width="16" style="472" customWidth="1"/>
    <col min="4355" max="4355" width="16.7109375" style="472" customWidth="1"/>
    <col min="4356" max="4356" width="9.42578125" style="472" customWidth="1"/>
    <col min="4357" max="4357" width="9" style="472" customWidth="1"/>
    <col min="4358" max="4358" width="11.5703125" style="472" customWidth="1"/>
    <col min="4359" max="4362" width="10.42578125" style="472" customWidth="1"/>
    <col min="4363" max="4363" width="10.5703125" style="472" customWidth="1"/>
    <col min="4364" max="4364" width="10.42578125" style="472" customWidth="1"/>
    <col min="4365" max="4365" width="11.5703125" style="472" customWidth="1"/>
    <col min="4366" max="4366" width="13" style="472" customWidth="1"/>
    <col min="4367" max="4609" width="9.140625" style="472"/>
    <col min="4610" max="4610" width="16" style="472" customWidth="1"/>
    <col min="4611" max="4611" width="16.7109375" style="472" customWidth="1"/>
    <col min="4612" max="4612" width="9.42578125" style="472" customWidth="1"/>
    <col min="4613" max="4613" width="9" style="472" customWidth="1"/>
    <col min="4614" max="4614" width="11.5703125" style="472" customWidth="1"/>
    <col min="4615" max="4618" width="10.42578125" style="472" customWidth="1"/>
    <col min="4619" max="4619" width="10.5703125" style="472" customWidth="1"/>
    <col min="4620" max="4620" width="10.42578125" style="472" customWidth="1"/>
    <col min="4621" max="4621" width="11.5703125" style="472" customWidth="1"/>
    <col min="4622" max="4622" width="13" style="472" customWidth="1"/>
    <col min="4623" max="4865" width="9.140625" style="472"/>
    <col min="4866" max="4866" width="16" style="472" customWidth="1"/>
    <col min="4867" max="4867" width="16.7109375" style="472" customWidth="1"/>
    <col min="4868" max="4868" width="9.42578125" style="472" customWidth="1"/>
    <col min="4869" max="4869" width="9" style="472" customWidth="1"/>
    <col min="4870" max="4870" width="11.5703125" style="472" customWidth="1"/>
    <col min="4871" max="4874" width="10.42578125" style="472" customWidth="1"/>
    <col min="4875" max="4875" width="10.5703125" style="472" customWidth="1"/>
    <col min="4876" max="4876" width="10.42578125" style="472" customWidth="1"/>
    <col min="4877" max="4877" width="11.5703125" style="472" customWidth="1"/>
    <col min="4878" max="4878" width="13" style="472" customWidth="1"/>
    <col min="4879" max="5121" width="9.140625" style="472"/>
    <col min="5122" max="5122" width="16" style="472" customWidth="1"/>
    <col min="5123" max="5123" width="16.7109375" style="472" customWidth="1"/>
    <col min="5124" max="5124" width="9.42578125" style="472" customWidth="1"/>
    <col min="5125" max="5125" width="9" style="472" customWidth="1"/>
    <col min="5126" max="5126" width="11.5703125" style="472" customWidth="1"/>
    <col min="5127" max="5130" width="10.42578125" style="472" customWidth="1"/>
    <col min="5131" max="5131" width="10.5703125" style="472" customWidth="1"/>
    <col min="5132" max="5132" width="10.42578125" style="472" customWidth="1"/>
    <col min="5133" max="5133" width="11.5703125" style="472" customWidth="1"/>
    <col min="5134" max="5134" width="13" style="472" customWidth="1"/>
    <col min="5135" max="5377" width="9.140625" style="472"/>
    <col min="5378" max="5378" width="16" style="472" customWidth="1"/>
    <col min="5379" max="5379" width="16.7109375" style="472" customWidth="1"/>
    <col min="5380" max="5380" width="9.42578125" style="472" customWidth="1"/>
    <col min="5381" max="5381" width="9" style="472" customWidth="1"/>
    <col min="5382" max="5382" width="11.5703125" style="472" customWidth="1"/>
    <col min="5383" max="5386" width="10.42578125" style="472" customWidth="1"/>
    <col min="5387" max="5387" width="10.5703125" style="472" customWidth="1"/>
    <col min="5388" max="5388" width="10.42578125" style="472" customWidth="1"/>
    <col min="5389" max="5389" width="11.5703125" style="472" customWidth="1"/>
    <col min="5390" max="5390" width="13" style="472" customWidth="1"/>
    <col min="5391" max="5633" width="9.140625" style="472"/>
    <col min="5634" max="5634" width="16" style="472" customWidth="1"/>
    <col min="5635" max="5635" width="16.7109375" style="472" customWidth="1"/>
    <col min="5636" max="5636" width="9.42578125" style="472" customWidth="1"/>
    <col min="5637" max="5637" width="9" style="472" customWidth="1"/>
    <col min="5638" max="5638" width="11.5703125" style="472" customWidth="1"/>
    <col min="5639" max="5642" width="10.42578125" style="472" customWidth="1"/>
    <col min="5643" max="5643" width="10.5703125" style="472" customWidth="1"/>
    <col min="5644" max="5644" width="10.42578125" style="472" customWidth="1"/>
    <col min="5645" max="5645" width="11.5703125" style="472" customWidth="1"/>
    <col min="5646" max="5646" width="13" style="472" customWidth="1"/>
    <col min="5647" max="5889" width="9.140625" style="472"/>
    <col min="5890" max="5890" width="16" style="472" customWidth="1"/>
    <col min="5891" max="5891" width="16.7109375" style="472" customWidth="1"/>
    <col min="5892" max="5892" width="9.42578125" style="472" customWidth="1"/>
    <col min="5893" max="5893" width="9" style="472" customWidth="1"/>
    <col min="5894" max="5894" width="11.5703125" style="472" customWidth="1"/>
    <col min="5895" max="5898" width="10.42578125" style="472" customWidth="1"/>
    <col min="5899" max="5899" width="10.5703125" style="472" customWidth="1"/>
    <col min="5900" max="5900" width="10.42578125" style="472" customWidth="1"/>
    <col min="5901" max="5901" width="11.5703125" style="472" customWidth="1"/>
    <col min="5902" max="5902" width="13" style="472" customWidth="1"/>
    <col min="5903" max="6145" width="9.140625" style="472"/>
    <col min="6146" max="6146" width="16" style="472" customWidth="1"/>
    <col min="6147" max="6147" width="16.7109375" style="472" customWidth="1"/>
    <col min="6148" max="6148" width="9.42578125" style="472" customWidth="1"/>
    <col min="6149" max="6149" width="9" style="472" customWidth="1"/>
    <col min="6150" max="6150" width="11.5703125" style="472" customWidth="1"/>
    <col min="6151" max="6154" width="10.42578125" style="472" customWidth="1"/>
    <col min="6155" max="6155" width="10.5703125" style="472" customWidth="1"/>
    <col min="6156" max="6156" width="10.42578125" style="472" customWidth="1"/>
    <col min="6157" max="6157" width="11.5703125" style="472" customWidth="1"/>
    <col min="6158" max="6158" width="13" style="472" customWidth="1"/>
    <col min="6159" max="6401" width="9.140625" style="472"/>
    <col min="6402" max="6402" width="16" style="472" customWidth="1"/>
    <col min="6403" max="6403" width="16.7109375" style="472" customWidth="1"/>
    <col min="6404" max="6404" width="9.42578125" style="472" customWidth="1"/>
    <col min="6405" max="6405" width="9" style="472" customWidth="1"/>
    <col min="6406" max="6406" width="11.5703125" style="472" customWidth="1"/>
    <col min="6407" max="6410" width="10.42578125" style="472" customWidth="1"/>
    <col min="6411" max="6411" width="10.5703125" style="472" customWidth="1"/>
    <col min="6412" max="6412" width="10.42578125" style="472" customWidth="1"/>
    <col min="6413" max="6413" width="11.5703125" style="472" customWidth="1"/>
    <col min="6414" max="6414" width="13" style="472" customWidth="1"/>
    <col min="6415" max="6657" width="9.140625" style="472"/>
    <col min="6658" max="6658" width="16" style="472" customWidth="1"/>
    <col min="6659" max="6659" width="16.7109375" style="472" customWidth="1"/>
    <col min="6660" max="6660" width="9.42578125" style="472" customWidth="1"/>
    <col min="6661" max="6661" width="9" style="472" customWidth="1"/>
    <col min="6662" max="6662" width="11.5703125" style="472" customWidth="1"/>
    <col min="6663" max="6666" width="10.42578125" style="472" customWidth="1"/>
    <col min="6667" max="6667" width="10.5703125" style="472" customWidth="1"/>
    <col min="6668" max="6668" width="10.42578125" style="472" customWidth="1"/>
    <col min="6669" max="6669" width="11.5703125" style="472" customWidth="1"/>
    <col min="6670" max="6670" width="13" style="472" customWidth="1"/>
    <col min="6671" max="6913" width="9.140625" style="472"/>
    <col min="6914" max="6914" width="16" style="472" customWidth="1"/>
    <col min="6915" max="6915" width="16.7109375" style="472" customWidth="1"/>
    <col min="6916" max="6916" width="9.42578125" style="472" customWidth="1"/>
    <col min="6917" max="6917" width="9" style="472" customWidth="1"/>
    <col min="6918" max="6918" width="11.5703125" style="472" customWidth="1"/>
    <col min="6919" max="6922" width="10.42578125" style="472" customWidth="1"/>
    <col min="6923" max="6923" width="10.5703125" style="472" customWidth="1"/>
    <col min="6924" max="6924" width="10.42578125" style="472" customWidth="1"/>
    <col min="6925" max="6925" width="11.5703125" style="472" customWidth="1"/>
    <col min="6926" max="6926" width="13" style="472" customWidth="1"/>
    <col min="6927" max="7169" width="9.140625" style="472"/>
    <col min="7170" max="7170" width="16" style="472" customWidth="1"/>
    <col min="7171" max="7171" width="16.7109375" style="472" customWidth="1"/>
    <col min="7172" max="7172" width="9.42578125" style="472" customWidth="1"/>
    <col min="7173" max="7173" width="9" style="472" customWidth="1"/>
    <col min="7174" max="7174" width="11.5703125" style="472" customWidth="1"/>
    <col min="7175" max="7178" width="10.42578125" style="472" customWidth="1"/>
    <col min="7179" max="7179" width="10.5703125" style="472" customWidth="1"/>
    <col min="7180" max="7180" width="10.42578125" style="472" customWidth="1"/>
    <col min="7181" max="7181" width="11.5703125" style="472" customWidth="1"/>
    <col min="7182" max="7182" width="13" style="472" customWidth="1"/>
    <col min="7183" max="7425" width="9.140625" style="472"/>
    <col min="7426" max="7426" width="16" style="472" customWidth="1"/>
    <col min="7427" max="7427" width="16.7109375" style="472" customWidth="1"/>
    <col min="7428" max="7428" width="9.42578125" style="472" customWidth="1"/>
    <col min="7429" max="7429" width="9" style="472" customWidth="1"/>
    <col min="7430" max="7430" width="11.5703125" style="472" customWidth="1"/>
    <col min="7431" max="7434" width="10.42578125" style="472" customWidth="1"/>
    <col min="7435" max="7435" width="10.5703125" style="472" customWidth="1"/>
    <col min="7436" max="7436" width="10.42578125" style="472" customWidth="1"/>
    <col min="7437" max="7437" width="11.5703125" style="472" customWidth="1"/>
    <col min="7438" max="7438" width="13" style="472" customWidth="1"/>
    <col min="7439" max="7681" width="9.140625" style="472"/>
    <col min="7682" max="7682" width="16" style="472" customWidth="1"/>
    <col min="7683" max="7683" width="16.7109375" style="472" customWidth="1"/>
    <col min="7684" max="7684" width="9.42578125" style="472" customWidth="1"/>
    <col min="7685" max="7685" width="9" style="472" customWidth="1"/>
    <col min="7686" max="7686" width="11.5703125" style="472" customWidth="1"/>
    <col min="7687" max="7690" width="10.42578125" style="472" customWidth="1"/>
    <col min="7691" max="7691" width="10.5703125" style="472" customWidth="1"/>
    <col min="7692" max="7692" width="10.42578125" style="472" customWidth="1"/>
    <col min="7693" max="7693" width="11.5703125" style="472" customWidth="1"/>
    <col min="7694" max="7694" width="13" style="472" customWidth="1"/>
    <col min="7695" max="7937" width="9.140625" style="472"/>
    <col min="7938" max="7938" width="16" style="472" customWidth="1"/>
    <col min="7939" max="7939" width="16.7109375" style="472" customWidth="1"/>
    <col min="7940" max="7940" width="9.42578125" style="472" customWidth="1"/>
    <col min="7941" max="7941" width="9" style="472" customWidth="1"/>
    <col min="7942" max="7942" width="11.5703125" style="472" customWidth="1"/>
    <col min="7943" max="7946" width="10.42578125" style="472" customWidth="1"/>
    <col min="7947" max="7947" width="10.5703125" style="472" customWidth="1"/>
    <col min="7948" max="7948" width="10.42578125" style="472" customWidth="1"/>
    <col min="7949" max="7949" width="11.5703125" style="472" customWidth="1"/>
    <col min="7950" max="7950" width="13" style="472" customWidth="1"/>
    <col min="7951" max="8193" width="9.140625" style="472"/>
    <col min="8194" max="8194" width="16" style="472" customWidth="1"/>
    <col min="8195" max="8195" width="16.7109375" style="472" customWidth="1"/>
    <col min="8196" max="8196" width="9.42578125" style="472" customWidth="1"/>
    <col min="8197" max="8197" width="9" style="472" customWidth="1"/>
    <col min="8198" max="8198" width="11.5703125" style="472" customWidth="1"/>
    <col min="8199" max="8202" width="10.42578125" style="472" customWidth="1"/>
    <col min="8203" max="8203" width="10.5703125" style="472" customWidth="1"/>
    <col min="8204" max="8204" width="10.42578125" style="472" customWidth="1"/>
    <col min="8205" max="8205" width="11.5703125" style="472" customWidth="1"/>
    <col min="8206" max="8206" width="13" style="472" customWidth="1"/>
    <col min="8207" max="8449" width="9.140625" style="472"/>
    <col min="8450" max="8450" width="16" style="472" customWidth="1"/>
    <col min="8451" max="8451" width="16.7109375" style="472" customWidth="1"/>
    <col min="8452" max="8452" width="9.42578125" style="472" customWidth="1"/>
    <col min="8453" max="8453" width="9" style="472" customWidth="1"/>
    <col min="8454" max="8454" width="11.5703125" style="472" customWidth="1"/>
    <col min="8455" max="8458" width="10.42578125" style="472" customWidth="1"/>
    <col min="8459" max="8459" width="10.5703125" style="472" customWidth="1"/>
    <col min="8460" max="8460" width="10.42578125" style="472" customWidth="1"/>
    <col min="8461" max="8461" width="11.5703125" style="472" customWidth="1"/>
    <col min="8462" max="8462" width="13" style="472" customWidth="1"/>
    <col min="8463" max="8705" width="9.140625" style="472"/>
    <col min="8706" max="8706" width="16" style="472" customWidth="1"/>
    <col min="8707" max="8707" width="16.7109375" style="472" customWidth="1"/>
    <col min="8708" max="8708" width="9.42578125" style="472" customWidth="1"/>
    <col min="8709" max="8709" width="9" style="472" customWidth="1"/>
    <col min="8710" max="8710" width="11.5703125" style="472" customWidth="1"/>
    <col min="8711" max="8714" width="10.42578125" style="472" customWidth="1"/>
    <col min="8715" max="8715" width="10.5703125" style="472" customWidth="1"/>
    <col min="8716" max="8716" width="10.42578125" style="472" customWidth="1"/>
    <col min="8717" max="8717" width="11.5703125" style="472" customWidth="1"/>
    <col min="8718" max="8718" width="13" style="472" customWidth="1"/>
    <col min="8719" max="8961" width="9.140625" style="472"/>
    <col min="8962" max="8962" width="16" style="472" customWidth="1"/>
    <col min="8963" max="8963" width="16.7109375" style="472" customWidth="1"/>
    <col min="8964" max="8964" width="9.42578125" style="472" customWidth="1"/>
    <col min="8965" max="8965" width="9" style="472" customWidth="1"/>
    <col min="8966" max="8966" width="11.5703125" style="472" customWidth="1"/>
    <col min="8967" max="8970" width="10.42578125" style="472" customWidth="1"/>
    <col min="8971" max="8971" width="10.5703125" style="472" customWidth="1"/>
    <col min="8972" max="8972" width="10.42578125" style="472" customWidth="1"/>
    <col min="8973" max="8973" width="11.5703125" style="472" customWidth="1"/>
    <col min="8974" max="8974" width="13" style="472" customWidth="1"/>
    <col min="8975" max="9217" width="9.140625" style="472"/>
    <col min="9218" max="9218" width="16" style="472" customWidth="1"/>
    <col min="9219" max="9219" width="16.7109375" style="472" customWidth="1"/>
    <col min="9220" max="9220" width="9.42578125" style="472" customWidth="1"/>
    <col min="9221" max="9221" width="9" style="472" customWidth="1"/>
    <col min="9222" max="9222" width="11.5703125" style="472" customWidth="1"/>
    <col min="9223" max="9226" width="10.42578125" style="472" customWidth="1"/>
    <col min="9227" max="9227" width="10.5703125" style="472" customWidth="1"/>
    <col min="9228" max="9228" width="10.42578125" style="472" customWidth="1"/>
    <col min="9229" max="9229" width="11.5703125" style="472" customWidth="1"/>
    <col min="9230" max="9230" width="13" style="472" customWidth="1"/>
    <col min="9231" max="9473" width="9.140625" style="472"/>
    <col min="9474" max="9474" width="16" style="472" customWidth="1"/>
    <col min="9475" max="9475" width="16.7109375" style="472" customWidth="1"/>
    <col min="9476" max="9476" width="9.42578125" style="472" customWidth="1"/>
    <col min="9477" max="9477" width="9" style="472" customWidth="1"/>
    <col min="9478" max="9478" width="11.5703125" style="472" customWidth="1"/>
    <col min="9479" max="9482" width="10.42578125" style="472" customWidth="1"/>
    <col min="9483" max="9483" width="10.5703125" style="472" customWidth="1"/>
    <col min="9484" max="9484" width="10.42578125" style="472" customWidth="1"/>
    <col min="9485" max="9485" width="11.5703125" style="472" customWidth="1"/>
    <col min="9486" max="9486" width="13" style="472" customWidth="1"/>
    <col min="9487" max="9729" width="9.140625" style="472"/>
    <col min="9730" max="9730" width="16" style="472" customWidth="1"/>
    <col min="9731" max="9731" width="16.7109375" style="472" customWidth="1"/>
    <col min="9732" max="9732" width="9.42578125" style="472" customWidth="1"/>
    <col min="9733" max="9733" width="9" style="472" customWidth="1"/>
    <col min="9734" max="9734" width="11.5703125" style="472" customWidth="1"/>
    <col min="9735" max="9738" width="10.42578125" style="472" customWidth="1"/>
    <col min="9739" max="9739" width="10.5703125" style="472" customWidth="1"/>
    <col min="9740" max="9740" width="10.42578125" style="472" customWidth="1"/>
    <col min="9741" max="9741" width="11.5703125" style="472" customWidth="1"/>
    <col min="9742" max="9742" width="13" style="472" customWidth="1"/>
    <col min="9743" max="9985" width="9.140625" style="472"/>
    <col min="9986" max="9986" width="16" style="472" customWidth="1"/>
    <col min="9987" max="9987" width="16.7109375" style="472" customWidth="1"/>
    <col min="9988" max="9988" width="9.42578125" style="472" customWidth="1"/>
    <col min="9989" max="9989" width="9" style="472" customWidth="1"/>
    <col min="9990" max="9990" width="11.5703125" style="472" customWidth="1"/>
    <col min="9991" max="9994" width="10.42578125" style="472" customWidth="1"/>
    <col min="9995" max="9995" width="10.5703125" style="472" customWidth="1"/>
    <col min="9996" max="9996" width="10.42578125" style="472" customWidth="1"/>
    <col min="9997" max="9997" width="11.5703125" style="472" customWidth="1"/>
    <col min="9998" max="9998" width="13" style="472" customWidth="1"/>
    <col min="9999" max="10241" width="9.140625" style="472"/>
    <col min="10242" max="10242" width="16" style="472" customWidth="1"/>
    <col min="10243" max="10243" width="16.7109375" style="472" customWidth="1"/>
    <col min="10244" max="10244" width="9.42578125" style="472" customWidth="1"/>
    <col min="10245" max="10245" width="9" style="472" customWidth="1"/>
    <col min="10246" max="10246" width="11.5703125" style="472" customWidth="1"/>
    <col min="10247" max="10250" width="10.42578125" style="472" customWidth="1"/>
    <col min="10251" max="10251" width="10.5703125" style="472" customWidth="1"/>
    <col min="10252" max="10252" width="10.42578125" style="472" customWidth="1"/>
    <col min="10253" max="10253" width="11.5703125" style="472" customWidth="1"/>
    <col min="10254" max="10254" width="13" style="472" customWidth="1"/>
    <col min="10255" max="10497" width="9.140625" style="472"/>
    <col min="10498" max="10498" width="16" style="472" customWidth="1"/>
    <col min="10499" max="10499" width="16.7109375" style="472" customWidth="1"/>
    <col min="10500" max="10500" width="9.42578125" style="472" customWidth="1"/>
    <col min="10501" max="10501" width="9" style="472" customWidth="1"/>
    <col min="10502" max="10502" width="11.5703125" style="472" customWidth="1"/>
    <col min="10503" max="10506" width="10.42578125" style="472" customWidth="1"/>
    <col min="10507" max="10507" width="10.5703125" style="472" customWidth="1"/>
    <col min="10508" max="10508" width="10.42578125" style="472" customWidth="1"/>
    <col min="10509" max="10509" width="11.5703125" style="472" customWidth="1"/>
    <col min="10510" max="10510" width="13" style="472" customWidth="1"/>
    <col min="10511" max="10753" width="9.140625" style="472"/>
    <col min="10754" max="10754" width="16" style="472" customWidth="1"/>
    <col min="10755" max="10755" width="16.7109375" style="472" customWidth="1"/>
    <col min="10756" max="10756" width="9.42578125" style="472" customWidth="1"/>
    <col min="10757" max="10757" width="9" style="472" customWidth="1"/>
    <col min="10758" max="10758" width="11.5703125" style="472" customWidth="1"/>
    <col min="10759" max="10762" width="10.42578125" style="472" customWidth="1"/>
    <col min="10763" max="10763" width="10.5703125" style="472" customWidth="1"/>
    <col min="10764" max="10764" width="10.42578125" style="472" customWidth="1"/>
    <col min="10765" max="10765" width="11.5703125" style="472" customWidth="1"/>
    <col min="10766" max="10766" width="13" style="472" customWidth="1"/>
    <col min="10767" max="11009" width="9.140625" style="472"/>
    <col min="11010" max="11010" width="16" style="472" customWidth="1"/>
    <col min="11011" max="11011" width="16.7109375" style="472" customWidth="1"/>
    <col min="11012" max="11012" width="9.42578125" style="472" customWidth="1"/>
    <col min="11013" max="11013" width="9" style="472" customWidth="1"/>
    <col min="11014" max="11014" width="11.5703125" style="472" customWidth="1"/>
    <col min="11015" max="11018" width="10.42578125" style="472" customWidth="1"/>
    <col min="11019" max="11019" width="10.5703125" style="472" customWidth="1"/>
    <col min="11020" max="11020" width="10.42578125" style="472" customWidth="1"/>
    <col min="11021" max="11021" width="11.5703125" style="472" customWidth="1"/>
    <col min="11022" max="11022" width="13" style="472" customWidth="1"/>
    <col min="11023" max="11265" width="9.140625" style="472"/>
    <col min="11266" max="11266" width="16" style="472" customWidth="1"/>
    <col min="11267" max="11267" width="16.7109375" style="472" customWidth="1"/>
    <col min="11268" max="11268" width="9.42578125" style="472" customWidth="1"/>
    <col min="11269" max="11269" width="9" style="472" customWidth="1"/>
    <col min="11270" max="11270" width="11.5703125" style="472" customWidth="1"/>
    <col min="11271" max="11274" width="10.42578125" style="472" customWidth="1"/>
    <col min="11275" max="11275" width="10.5703125" style="472" customWidth="1"/>
    <col min="11276" max="11276" width="10.42578125" style="472" customWidth="1"/>
    <col min="11277" max="11277" width="11.5703125" style="472" customWidth="1"/>
    <col min="11278" max="11278" width="13" style="472" customWidth="1"/>
    <col min="11279" max="11521" width="9.140625" style="472"/>
    <col min="11522" max="11522" width="16" style="472" customWidth="1"/>
    <col min="11523" max="11523" width="16.7109375" style="472" customWidth="1"/>
    <col min="11524" max="11524" width="9.42578125" style="472" customWidth="1"/>
    <col min="11525" max="11525" width="9" style="472" customWidth="1"/>
    <col min="11526" max="11526" width="11.5703125" style="472" customWidth="1"/>
    <col min="11527" max="11530" width="10.42578125" style="472" customWidth="1"/>
    <col min="11531" max="11531" width="10.5703125" style="472" customWidth="1"/>
    <col min="11532" max="11532" width="10.42578125" style="472" customWidth="1"/>
    <col min="11533" max="11533" width="11.5703125" style="472" customWidth="1"/>
    <col min="11534" max="11534" width="13" style="472" customWidth="1"/>
    <col min="11535" max="11777" width="9.140625" style="472"/>
    <col min="11778" max="11778" width="16" style="472" customWidth="1"/>
    <col min="11779" max="11779" width="16.7109375" style="472" customWidth="1"/>
    <col min="11780" max="11780" width="9.42578125" style="472" customWidth="1"/>
    <col min="11781" max="11781" width="9" style="472" customWidth="1"/>
    <col min="11782" max="11782" width="11.5703125" style="472" customWidth="1"/>
    <col min="11783" max="11786" width="10.42578125" style="472" customWidth="1"/>
    <col min="11787" max="11787" width="10.5703125" style="472" customWidth="1"/>
    <col min="11788" max="11788" width="10.42578125" style="472" customWidth="1"/>
    <col min="11789" max="11789" width="11.5703125" style="472" customWidth="1"/>
    <col min="11790" max="11790" width="13" style="472" customWidth="1"/>
    <col min="11791" max="12033" width="9.140625" style="472"/>
    <col min="12034" max="12034" width="16" style="472" customWidth="1"/>
    <col min="12035" max="12035" width="16.7109375" style="472" customWidth="1"/>
    <col min="12036" max="12036" width="9.42578125" style="472" customWidth="1"/>
    <col min="12037" max="12037" width="9" style="472" customWidth="1"/>
    <col min="12038" max="12038" width="11.5703125" style="472" customWidth="1"/>
    <col min="12039" max="12042" width="10.42578125" style="472" customWidth="1"/>
    <col min="12043" max="12043" width="10.5703125" style="472" customWidth="1"/>
    <col min="12044" max="12044" width="10.42578125" style="472" customWidth="1"/>
    <col min="12045" max="12045" width="11.5703125" style="472" customWidth="1"/>
    <col min="12046" max="12046" width="13" style="472" customWidth="1"/>
    <col min="12047" max="12289" width="9.140625" style="472"/>
    <col min="12290" max="12290" width="16" style="472" customWidth="1"/>
    <col min="12291" max="12291" width="16.7109375" style="472" customWidth="1"/>
    <col min="12292" max="12292" width="9.42578125" style="472" customWidth="1"/>
    <col min="12293" max="12293" width="9" style="472" customWidth="1"/>
    <col min="12294" max="12294" width="11.5703125" style="472" customWidth="1"/>
    <col min="12295" max="12298" width="10.42578125" style="472" customWidth="1"/>
    <col min="12299" max="12299" width="10.5703125" style="472" customWidth="1"/>
    <col min="12300" max="12300" width="10.42578125" style="472" customWidth="1"/>
    <col min="12301" max="12301" width="11.5703125" style="472" customWidth="1"/>
    <col min="12302" max="12302" width="13" style="472" customWidth="1"/>
    <col min="12303" max="12545" width="9.140625" style="472"/>
    <col min="12546" max="12546" width="16" style="472" customWidth="1"/>
    <col min="12547" max="12547" width="16.7109375" style="472" customWidth="1"/>
    <col min="12548" max="12548" width="9.42578125" style="472" customWidth="1"/>
    <col min="12549" max="12549" width="9" style="472" customWidth="1"/>
    <col min="12550" max="12550" width="11.5703125" style="472" customWidth="1"/>
    <col min="12551" max="12554" width="10.42578125" style="472" customWidth="1"/>
    <col min="12555" max="12555" width="10.5703125" style="472" customWidth="1"/>
    <col min="12556" max="12556" width="10.42578125" style="472" customWidth="1"/>
    <col min="12557" max="12557" width="11.5703125" style="472" customWidth="1"/>
    <col min="12558" max="12558" width="13" style="472" customWidth="1"/>
    <col min="12559" max="12801" width="9.140625" style="472"/>
    <col min="12802" max="12802" width="16" style="472" customWidth="1"/>
    <col min="12803" max="12803" width="16.7109375" style="472" customWidth="1"/>
    <col min="12804" max="12804" width="9.42578125" style="472" customWidth="1"/>
    <col min="12805" max="12805" width="9" style="472" customWidth="1"/>
    <col min="12806" max="12806" width="11.5703125" style="472" customWidth="1"/>
    <col min="12807" max="12810" width="10.42578125" style="472" customWidth="1"/>
    <col min="12811" max="12811" width="10.5703125" style="472" customWidth="1"/>
    <col min="12812" max="12812" width="10.42578125" style="472" customWidth="1"/>
    <col min="12813" max="12813" width="11.5703125" style="472" customWidth="1"/>
    <col min="12814" max="12814" width="13" style="472" customWidth="1"/>
    <col min="12815" max="13057" width="9.140625" style="472"/>
    <col min="13058" max="13058" width="16" style="472" customWidth="1"/>
    <col min="13059" max="13059" width="16.7109375" style="472" customWidth="1"/>
    <col min="13060" max="13060" width="9.42578125" style="472" customWidth="1"/>
    <col min="13061" max="13061" width="9" style="472" customWidth="1"/>
    <col min="13062" max="13062" width="11.5703125" style="472" customWidth="1"/>
    <col min="13063" max="13066" width="10.42578125" style="472" customWidth="1"/>
    <col min="13067" max="13067" width="10.5703125" style="472" customWidth="1"/>
    <col min="13068" max="13068" width="10.42578125" style="472" customWidth="1"/>
    <col min="13069" max="13069" width="11.5703125" style="472" customWidth="1"/>
    <col min="13070" max="13070" width="13" style="472" customWidth="1"/>
    <col min="13071" max="13313" width="9.140625" style="472"/>
    <col min="13314" max="13314" width="16" style="472" customWidth="1"/>
    <col min="13315" max="13315" width="16.7109375" style="472" customWidth="1"/>
    <col min="13316" max="13316" width="9.42578125" style="472" customWidth="1"/>
    <col min="13317" max="13317" width="9" style="472" customWidth="1"/>
    <col min="13318" max="13318" width="11.5703125" style="472" customWidth="1"/>
    <col min="13319" max="13322" width="10.42578125" style="472" customWidth="1"/>
    <col min="13323" max="13323" width="10.5703125" style="472" customWidth="1"/>
    <col min="13324" max="13324" width="10.42578125" style="472" customWidth="1"/>
    <col min="13325" max="13325" width="11.5703125" style="472" customWidth="1"/>
    <col min="13326" max="13326" width="13" style="472" customWidth="1"/>
    <col min="13327" max="13569" width="9.140625" style="472"/>
    <col min="13570" max="13570" width="16" style="472" customWidth="1"/>
    <col min="13571" max="13571" width="16.7109375" style="472" customWidth="1"/>
    <col min="13572" max="13572" width="9.42578125" style="472" customWidth="1"/>
    <col min="13573" max="13573" width="9" style="472" customWidth="1"/>
    <col min="13574" max="13574" width="11.5703125" style="472" customWidth="1"/>
    <col min="13575" max="13578" width="10.42578125" style="472" customWidth="1"/>
    <col min="13579" max="13579" width="10.5703125" style="472" customWidth="1"/>
    <col min="13580" max="13580" width="10.42578125" style="472" customWidth="1"/>
    <col min="13581" max="13581" width="11.5703125" style="472" customWidth="1"/>
    <col min="13582" max="13582" width="13" style="472" customWidth="1"/>
    <col min="13583" max="13825" width="9.140625" style="472"/>
    <col min="13826" max="13826" width="16" style="472" customWidth="1"/>
    <col min="13827" max="13827" width="16.7109375" style="472" customWidth="1"/>
    <col min="13828" max="13828" width="9.42578125" style="472" customWidth="1"/>
    <col min="13829" max="13829" width="9" style="472" customWidth="1"/>
    <col min="13830" max="13830" width="11.5703125" style="472" customWidth="1"/>
    <col min="13831" max="13834" width="10.42578125" style="472" customWidth="1"/>
    <col min="13835" max="13835" width="10.5703125" style="472" customWidth="1"/>
    <col min="13836" max="13836" width="10.42578125" style="472" customWidth="1"/>
    <col min="13837" max="13837" width="11.5703125" style="472" customWidth="1"/>
    <col min="13838" max="13838" width="13" style="472" customWidth="1"/>
    <col min="13839" max="14081" width="9.140625" style="472"/>
    <col min="14082" max="14082" width="16" style="472" customWidth="1"/>
    <col min="14083" max="14083" width="16.7109375" style="472" customWidth="1"/>
    <col min="14084" max="14084" width="9.42578125" style="472" customWidth="1"/>
    <col min="14085" max="14085" width="9" style="472" customWidth="1"/>
    <col min="14086" max="14086" width="11.5703125" style="472" customWidth="1"/>
    <col min="14087" max="14090" width="10.42578125" style="472" customWidth="1"/>
    <col min="14091" max="14091" width="10.5703125" style="472" customWidth="1"/>
    <col min="14092" max="14092" width="10.42578125" style="472" customWidth="1"/>
    <col min="14093" max="14093" width="11.5703125" style="472" customWidth="1"/>
    <col min="14094" max="14094" width="13" style="472" customWidth="1"/>
    <col min="14095" max="14337" width="9.140625" style="472"/>
    <col min="14338" max="14338" width="16" style="472" customWidth="1"/>
    <col min="14339" max="14339" width="16.7109375" style="472" customWidth="1"/>
    <col min="14340" max="14340" width="9.42578125" style="472" customWidth="1"/>
    <col min="14341" max="14341" width="9" style="472" customWidth="1"/>
    <col min="14342" max="14342" width="11.5703125" style="472" customWidth="1"/>
    <col min="14343" max="14346" width="10.42578125" style="472" customWidth="1"/>
    <col min="14347" max="14347" width="10.5703125" style="472" customWidth="1"/>
    <col min="14348" max="14348" width="10.42578125" style="472" customWidth="1"/>
    <col min="14349" max="14349" width="11.5703125" style="472" customWidth="1"/>
    <col min="14350" max="14350" width="13" style="472" customWidth="1"/>
    <col min="14351" max="14593" width="9.140625" style="472"/>
    <col min="14594" max="14594" width="16" style="472" customWidth="1"/>
    <col min="14595" max="14595" width="16.7109375" style="472" customWidth="1"/>
    <col min="14596" max="14596" width="9.42578125" style="472" customWidth="1"/>
    <col min="14597" max="14597" width="9" style="472" customWidth="1"/>
    <col min="14598" max="14598" width="11.5703125" style="472" customWidth="1"/>
    <col min="14599" max="14602" width="10.42578125" style="472" customWidth="1"/>
    <col min="14603" max="14603" width="10.5703125" style="472" customWidth="1"/>
    <col min="14604" max="14604" width="10.42578125" style="472" customWidth="1"/>
    <col min="14605" max="14605" width="11.5703125" style="472" customWidth="1"/>
    <col min="14606" max="14606" width="13" style="472" customWidth="1"/>
    <col min="14607" max="14849" width="9.140625" style="472"/>
    <col min="14850" max="14850" width="16" style="472" customWidth="1"/>
    <col min="14851" max="14851" width="16.7109375" style="472" customWidth="1"/>
    <col min="14852" max="14852" width="9.42578125" style="472" customWidth="1"/>
    <col min="14853" max="14853" width="9" style="472" customWidth="1"/>
    <col min="14854" max="14854" width="11.5703125" style="472" customWidth="1"/>
    <col min="14855" max="14858" width="10.42578125" style="472" customWidth="1"/>
    <col min="14859" max="14859" width="10.5703125" style="472" customWidth="1"/>
    <col min="14860" max="14860" width="10.42578125" style="472" customWidth="1"/>
    <col min="14861" max="14861" width="11.5703125" style="472" customWidth="1"/>
    <col min="14862" max="14862" width="13" style="472" customWidth="1"/>
    <col min="14863" max="15105" width="9.140625" style="472"/>
    <col min="15106" max="15106" width="16" style="472" customWidth="1"/>
    <col min="15107" max="15107" width="16.7109375" style="472" customWidth="1"/>
    <col min="15108" max="15108" width="9.42578125" style="472" customWidth="1"/>
    <col min="15109" max="15109" width="9" style="472" customWidth="1"/>
    <col min="15110" max="15110" width="11.5703125" style="472" customWidth="1"/>
    <col min="15111" max="15114" width="10.42578125" style="472" customWidth="1"/>
    <col min="15115" max="15115" width="10.5703125" style="472" customWidth="1"/>
    <col min="15116" max="15116" width="10.42578125" style="472" customWidth="1"/>
    <col min="15117" max="15117" width="11.5703125" style="472" customWidth="1"/>
    <col min="15118" max="15118" width="13" style="472" customWidth="1"/>
    <col min="15119" max="15361" width="9.140625" style="472"/>
    <col min="15362" max="15362" width="16" style="472" customWidth="1"/>
    <col min="15363" max="15363" width="16.7109375" style="472" customWidth="1"/>
    <col min="15364" max="15364" width="9.42578125" style="472" customWidth="1"/>
    <col min="15365" max="15365" width="9" style="472" customWidth="1"/>
    <col min="15366" max="15366" width="11.5703125" style="472" customWidth="1"/>
    <col min="15367" max="15370" width="10.42578125" style="472" customWidth="1"/>
    <col min="15371" max="15371" width="10.5703125" style="472" customWidth="1"/>
    <col min="15372" max="15372" width="10.42578125" style="472" customWidth="1"/>
    <col min="15373" max="15373" width="11.5703125" style="472" customWidth="1"/>
    <col min="15374" max="15374" width="13" style="472" customWidth="1"/>
    <col min="15375" max="15617" width="9.140625" style="472"/>
    <col min="15618" max="15618" width="16" style="472" customWidth="1"/>
    <col min="15619" max="15619" width="16.7109375" style="472" customWidth="1"/>
    <col min="15620" max="15620" width="9.42578125" style="472" customWidth="1"/>
    <col min="15621" max="15621" width="9" style="472" customWidth="1"/>
    <col min="15622" max="15622" width="11.5703125" style="472" customWidth="1"/>
    <col min="15623" max="15626" width="10.42578125" style="472" customWidth="1"/>
    <col min="15627" max="15627" width="10.5703125" style="472" customWidth="1"/>
    <col min="15628" max="15628" width="10.42578125" style="472" customWidth="1"/>
    <col min="15629" max="15629" width="11.5703125" style="472" customWidth="1"/>
    <col min="15630" max="15630" width="13" style="472" customWidth="1"/>
    <col min="15631" max="15873" width="9.140625" style="472"/>
    <col min="15874" max="15874" width="16" style="472" customWidth="1"/>
    <col min="15875" max="15875" width="16.7109375" style="472" customWidth="1"/>
    <col min="15876" max="15876" width="9.42578125" style="472" customWidth="1"/>
    <col min="15877" max="15877" width="9" style="472" customWidth="1"/>
    <col min="15878" max="15878" width="11.5703125" style="472" customWidth="1"/>
    <col min="15879" max="15882" width="10.42578125" style="472" customWidth="1"/>
    <col min="15883" max="15883" width="10.5703125" style="472" customWidth="1"/>
    <col min="15884" max="15884" width="10.42578125" style="472" customWidth="1"/>
    <col min="15885" max="15885" width="11.5703125" style="472" customWidth="1"/>
    <col min="15886" max="15886" width="13" style="472" customWidth="1"/>
    <col min="15887" max="16129" width="9.140625" style="472"/>
    <col min="16130" max="16130" width="16" style="472" customWidth="1"/>
    <col min="16131" max="16131" width="16.7109375" style="472" customWidth="1"/>
    <col min="16132" max="16132" width="9.42578125" style="472" customWidth="1"/>
    <col min="16133" max="16133" width="9" style="472" customWidth="1"/>
    <col min="16134" max="16134" width="11.5703125" style="472" customWidth="1"/>
    <col min="16135" max="16138" width="10.42578125" style="472" customWidth="1"/>
    <col min="16139" max="16139" width="10.5703125" style="472" customWidth="1"/>
    <col min="16140" max="16140" width="10.42578125" style="472" customWidth="1"/>
    <col min="16141" max="16141" width="11.5703125" style="472" customWidth="1"/>
    <col min="16142" max="16142" width="13" style="472" customWidth="1"/>
    <col min="16143" max="16384" width="9.140625" style="472"/>
  </cols>
  <sheetData>
    <row r="1" spans="1:14" ht="18" x14ac:dyDescent="0.35">
      <c r="A1" s="1019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N1" s="473" t="s">
        <v>512</v>
      </c>
    </row>
    <row r="2" spans="1:14" ht="21" x14ac:dyDescent="0.35">
      <c r="A2" s="1020" t="s">
        <v>738</v>
      </c>
      <c r="B2" s="1020"/>
      <c r="C2" s="1020"/>
      <c r="D2" s="1020"/>
      <c r="E2" s="1020"/>
      <c r="F2" s="1020"/>
      <c r="G2" s="1020"/>
      <c r="H2" s="1020"/>
      <c r="I2" s="1020"/>
      <c r="J2" s="1020"/>
      <c r="K2" s="1020"/>
    </row>
    <row r="3" spans="1:14" ht="15" x14ac:dyDescent="0.3">
      <c r="A3" s="474"/>
      <c r="B3" s="474"/>
      <c r="C3" s="474"/>
      <c r="D3" s="474"/>
      <c r="E3" s="474"/>
      <c r="F3" s="474"/>
      <c r="G3" s="474"/>
      <c r="H3" s="474"/>
      <c r="I3" s="475"/>
      <c r="J3" s="475"/>
    </row>
    <row r="4" spans="1:14" ht="18" x14ac:dyDescent="0.35">
      <c r="A4" s="1019" t="s">
        <v>511</v>
      </c>
      <c r="B4" s="1019"/>
      <c r="C4" s="1019"/>
      <c r="D4" s="1019"/>
      <c r="E4" s="1019"/>
      <c r="F4" s="1019"/>
      <c r="G4" s="1019"/>
      <c r="H4" s="1019"/>
      <c r="I4" s="476"/>
      <c r="J4" s="476"/>
    </row>
    <row r="5" spans="1:14" ht="15" x14ac:dyDescent="0.3">
      <c r="A5" s="197" t="s">
        <v>917</v>
      </c>
      <c r="B5" s="197" t="s">
        <v>916</v>
      </c>
      <c r="C5" s="477"/>
      <c r="D5" s="477"/>
      <c r="E5" s="477"/>
      <c r="F5" s="477"/>
      <c r="G5" s="477"/>
      <c r="H5" s="474"/>
      <c r="I5" s="475"/>
      <c r="J5" s="475"/>
      <c r="L5" s="1021" t="s">
        <v>1186</v>
      </c>
      <c r="M5" s="1021"/>
      <c r="N5" s="1021"/>
    </row>
    <row r="6" spans="1:14" ht="28.5" customHeight="1" x14ac:dyDescent="0.2">
      <c r="A6" s="1022" t="s">
        <v>2</v>
      </c>
      <c r="B6" s="1022" t="s">
        <v>35</v>
      </c>
      <c r="C6" s="1024" t="s">
        <v>398</v>
      </c>
      <c r="D6" s="1025" t="s">
        <v>448</v>
      </c>
      <c r="E6" s="1025"/>
      <c r="F6" s="1025"/>
      <c r="G6" s="1025"/>
      <c r="H6" s="1026"/>
      <c r="I6" s="1027" t="s">
        <v>537</v>
      </c>
      <c r="J6" s="1027" t="s">
        <v>538</v>
      </c>
      <c r="K6" s="1028" t="s">
        <v>492</v>
      </c>
      <c r="L6" s="1028"/>
      <c r="M6" s="1028"/>
      <c r="N6" s="1028"/>
    </row>
    <row r="7" spans="1:14" ht="39" customHeight="1" x14ac:dyDescent="0.2">
      <c r="A7" s="1023"/>
      <c r="B7" s="1023"/>
      <c r="C7" s="1024"/>
      <c r="D7" s="478" t="s">
        <v>447</v>
      </c>
      <c r="E7" s="478" t="s">
        <v>399</v>
      </c>
      <c r="F7" s="479" t="s">
        <v>400</v>
      </c>
      <c r="G7" s="478" t="s">
        <v>401</v>
      </c>
      <c r="H7" s="478" t="s">
        <v>45</v>
      </c>
      <c r="I7" s="1027"/>
      <c r="J7" s="1027"/>
      <c r="K7" s="480" t="s">
        <v>402</v>
      </c>
      <c r="L7" s="478" t="s">
        <v>493</v>
      </c>
      <c r="M7" s="478" t="s">
        <v>403</v>
      </c>
      <c r="N7" s="478" t="s">
        <v>404</v>
      </c>
    </row>
    <row r="8" spans="1:14" ht="15" x14ac:dyDescent="0.2">
      <c r="A8" s="439" t="s">
        <v>257</v>
      </c>
      <c r="B8" s="439" t="s">
        <v>258</v>
      </c>
      <c r="C8" s="439" t="s">
        <v>259</v>
      </c>
      <c r="D8" s="439" t="s">
        <v>260</v>
      </c>
      <c r="E8" s="439" t="s">
        <v>261</v>
      </c>
      <c r="F8" s="439" t="s">
        <v>262</v>
      </c>
      <c r="G8" s="439" t="s">
        <v>263</v>
      </c>
      <c r="H8" s="439" t="s">
        <v>264</v>
      </c>
      <c r="I8" s="481" t="s">
        <v>283</v>
      </c>
      <c r="J8" s="481" t="s">
        <v>284</v>
      </c>
      <c r="K8" s="439" t="s">
        <v>285</v>
      </c>
      <c r="L8" s="439" t="s">
        <v>313</v>
      </c>
      <c r="M8" s="439" t="s">
        <v>314</v>
      </c>
      <c r="N8" s="439" t="s">
        <v>315</v>
      </c>
    </row>
    <row r="9" spans="1:14" ht="18.75" customHeight="1" x14ac:dyDescent="0.2">
      <c r="A9" s="482">
        <v>1</v>
      </c>
      <c r="B9" s="483" t="s">
        <v>890</v>
      </c>
      <c r="C9" s="754">
        <v>1235</v>
      </c>
      <c r="D9" s="755">
        <v>0</v>
      </c>
      <c r="E9" s="755">
        <v>78</v>
      </c>
      <c r="F9" s="755">
        <v>1093</v>
      </c>
      <c r="G9" s="755">
        <v>7</v>
      </c>
      <c r="H9" s="755">
        <v>57</v>
      </c>
      <c r="I9" s="756">
        <v>956</v>
      </c>
      <c r="J9" s="743">
        <v>1239</v>
      </c>
      <c r="K9" s="743">
        <v>1239</v>
      </c>
      <c r="L9" s="756">
        <v>278</v>
      </c>
      <c r="M9" s="756">
        <v>0</v>
      </c>
      <c r="N9" s="743">
        <v>1239</v>
      </c>
    </row>
    <row r="10" spans="1:14" ht="18.75" customHeight="1" x14ac:dyDescent="0.2">
      <c r="A10" s="482">
        <v>2</v>
      </c>
      <c r="B10" s="483" t="s">
        <v>891</v>
      </c>
      <c r="C10" s="754">
        <v>1827</v>
      </c>
      <c r="D10" s="755">
        <v>0</v>
      </c>
      <c r="E10" s="755">
        <v>31</v>
      </c>
      <c r="F10" s="755">
        <v>1716</v>
      </c>
      <c r="G10" s="755">
        <v>10</v>
      </c>
      <c r="H10" s="755">
        <v>70</v>
      </c>
      <c r="I10" s="756">
        <v>1478</v>
      </c>
      <c r="J10" s="743">
        <v>1830</v>
      </c>
      <c r="K10" s="743">
        <v>1830</v>
      </c>
      <c r="L10" s="756">
        <v>298</v>
      </c>
      <c r="M10" s="756">
        <v>0</v>
      </c>
      <c r="N10" s="743">
        <v>1830</v>
      </c>
    </row>
    <row r="11" spans="1:14" ht="18.75" customHeight="1" x14ac:dyDescent="0.2">
      <c r="A11" s="482">
        <v>3</v>
      </c>
      <c r="B11" s="483" t="s">
        <v>892</v>
      </c>
      <c r="C11" s="754">
        <v>1951</v>
      </c>
      <c r="D11" s="755">
        <v>0</v>
      </c>
      <c r="E11" s="755">
        <v>16</v>
      </c>
      <c r="F11" s="755">
        <v>1748</v>
      </c>
      <c r="G11" s="755">
        <v>47</v>
      </c>
      <c r="H11" s="755">
        <v>140</v>
      </c>
      <c r="I11" s="756">
        <v>1541</v>
      </c>
      <c r="J11" s="743">
        <v>1964</v>
      </c>
      <c r="K11" s="743">
        <v>1964</v>
      </c>
      <c r="L11" s="756">
        <v>233</v>
      </c>
      <c r="M11" s="756">
        <v>0</v>
      </c>
      <c r="N11" s="743">
        <v>1964</v>
      </c>
    </row>
    <row r="12" spans="1:14" ht="18.75" customHeight="1" x14ac:dyDescent="0.2">
      <c r="A12" s="482">
        <v>4</v>
      </c>
      <c r="B12" s="483" t="s">
        <v>893</v>
      </c>
      <c r="C12" s="754">
        <v>2175</v>
      </c>
      <c r="D12" s="755">
        <v>0</v>
      </c>
      <c r="E12" s="755">
        <v>77</v>
      </c>
      <c r="F12" s="755">
        <v>1754</v>
      </c>
      <c r="G12" s="755">
        <v>2</v>
      </c>
      <c r="H12" s="755">
        <v>342</v>
      </c>
      <c r="I12" s="756">
        <v>1958</v>
      </c>
      <c r="J12" s="743">
        <v>2194</v>
      </c>
      <c r="K12" s="743">
        <v>2194</v>
      </c>
      <c r="L12" s="756">
        <v>66</v>
      </c>
      <c r="M12" s="756">
        <v>0</v>
      </c>
      <c r="N12" s="743">
        <v>2194</v>
      </c>
    </row>
    <row r="13" spans="1:14" ht="18.75" customHeight="1" x14ac:dyDescent="0.2">
      <c r="A13" s="482">
        <v>5</v>
      </c>
      <c r="B13" s="483" t="s">
        <v>894</v>
      </c>
      <c r="C13" s="754">
        <v>1130</v>
      </c>
      <c r="D13" s="755">
        <v>0</v>
      </c>
      <c r="E13" s="755">
        <v>100</v>
      </c>
      <c r="F13" s="755">
        <v>1004</v>
      </c>
      <c r="G13" s="755">
        <v>0</v>
      </c>
      <c r="H13" s="755">
        <v>26</v>
      </c>
      <c r="I13" s="756">
        <v>1021</v>
      </c>
      <c r="J13" s="743">
        <v>1131</v>
      </c>
      <c r="K13" s="743">
        <v>1131</v>
      </c>
      <c r="L13" s="756">
        <v>356</v>
      </c>
      <c r="M13" s="756">
        <v>0</v>
      </c>
      <c r="N13" s="743">
        <v>1131</v>
      </c>
    </row>
    <row r="14" spans="1:14" ht="18.75" customHeight="1" x14ac:dyDescent="0.2">
      <c r="A14" s="482">
        <v>6</v>
      </c>
      <c r="B14" s="483" t="s">
        <v>895</v>
      </c>
      <c r="C14" s="754">
        <v>832</v>
      </c>
      <c r="D14" s="755">
        <v>0</v>
      </c>
      <c r="E14" s="755">
        <v>3</v>
      </c>
      <c r="F14" s="755">
        <v>724</v>
      </c>
      <c r="G14" s="755">
        <v>3</v>
      </c>
      <c r="H14" s="755">
        <v>102</v>
      </c>
      <c r="I14" s="756">
        <v>452</v>
      </c>
      <c r="J14" s="743">
        <v>897</v>
      </c>
      <c r="K14" s="743">
        <v>897</v>
      </c>
      <c r="L14" s="756">
        <v>54</v>
      </c>
      <c r="M14" s="756">
        <v>0</v>
      </c>
      <c r="N14" s="743">
        <v>897</v>
      </c>
    </row>
    <row r="15" spans="1:14" ht="18.75" customHeight="1" x14ac:dyDescent="0.2">
      <c r="A15" s="482">
        <v>7</v>
      </c>
      <c r="B15" s="483" t="s">
        <v>896</v>
      </c>
      <c r="C15" s="754">
        <v>2466</v>
      </c>
      <c r="D15" s="755">
        <v>0</v>
      </c>
      <c r="E15" s="755">
        <v>138</v>
      </c>
      <c r="F15" s="755">
        <v>2236</v>
      </c>
      <c r="G15" s="755">
        <v>11</v>
      </c>
      <c r="H15" s="755">
        <v>81</v>
      </c>
      <c r="I15" s="756">
        <v>2215</v>
      </c>
      <c r="J15" s="743">
        <v>2496</v>
      </c>
      <c r="K15" s="743">
        <v>2496</v>
      </c>
      <c r="L15" s="756">
        <v>654</v>
      </c>
      <c r="M15" s="756">
        <v>0</v>
      </c>
      <c r="N15" s="743">
        <v>2496</v>
      </c>
    </row>
    <row r="16" spans="1:14" ht="18.75" customHeight="1" x14ac:dyDescent="0.2">
      <c r="A16" s="482">
        <v>8</v>
      </c>
      <c r="B16" s="483" t="s">
        <v>897</v>
      </c>
      <c r="C16" s="754">
        <v>865</v>
      </c>
      <c r="D16" s="755">
        <v>0</v>
      </c>
      <c r="E16" s="755">
        <v>64</v>
      </c>
      <c r="F16" s="755">
        <v>732</v>
      </c>
      <c r="G16" s="755">
        <v>7</v>
      </c>
      <c r="H16" s="755">
        <v>62</v>
      </c>
      <c r="I16" s="756">
        <v>625</v>
      </c>
      <c r="J16" s="743">
        <v>884</v>
      </c>
      <c r="K16" s="743">
        <v>884</v>
      </c>
      <c r="L16" s="756">
        <v>65</v>
      </c>
      <c r="M16" s="756">
        <v>0</v>
      </c>
      <c r="N16" s="743">
        <v>884</v>
      </c>
    </row>
    <row r="17" spans="1:15" ht="18.75" customHeight="1" x14ac:dyDescent="0.2">
      <c r="A17" s="482">
        <v>9</v>
      </c>
      <c r="B17" s="483" t="s">
        <v>898</v>
      </c>
      <c r="C17" s="754">
        <v>1326</v>
      </c>
      <c r="D17" s="755">
        <v>0</v>
      </c>
      <c r="E17" s="755">
        <v>126</v>
      </c>
      <c r="F17" s="755">
        <v>1087</v>
      </c>
      <c r="G17" s="755">
        <v>9</v>
      </c>
      <c r="H17" s="755">
        <v>104</v>
      </c>
      <c r="I17" s="756">
        <v>1125</v>
      </c>
      <c r="J17" s="743">
        <v>1336</v>
      </c>
      <c r="K17" s="743">
        <v>1336</v>
      </c>
      <c r="L17" s="756">
        <v>588</v>
      </c>
      <c r="M17" s="756">
        <v>0</v>
      </c>
      <c r="N17" s="743">
        <v>1336</v>
      </c>
    </row>
    <row r="18" spans="1:15" ht="18.75" customHeight="1" x14ac:dyDescent="0.2">
      <c r="A18" s="482">
        <v>10</v>
      </c>
      <c r="B18" s="483" t="s">
        <v>899</v>
      </c>
      <c r="C18" s="754">
        <v>950</v>
      </c>
      <c r="D18" s="755">
        <v>0</v>
      </c>
      <c r="E18" s="755">
        <v>112</v>
      </c>
      <c r="F18" s="755">
        <v>822</v>
      </c>
      <c r="G18" s="755">
        <v>6</v>
      </c>
      <c r="H18" s="755">
        <v>10</v>
      </c>
      <c r="I18" s="756">
        <v>745</v>
      </c>
      <c r="J18" s="743">
        <v>973</v>
      </c>
      <c r="K18" s="743">
        <v>973</v>
      </c>
      <c r="L18" s="756">
        <v>365</v>
      </c>
      <c r="M18" s="756">
        <v>0</v>
      </c>
      <c r="N18" s="743">
        <v>973</v>
      </c>
    </row>
    <row r="19" spans="1:15" ht="18.75" customHeight="1" x14ac:dyDescent="0.2">
      <c r="A19" s="482">
        <v>11</v>
      </c>
      <c r="B19" s="483" t="s">
        <v>900</v>
      </c>
      <c r="C19" s="754">
        <v>1431</v>
      </c>
      <c r="D19" s="755">
        <v>0</v>
      </c>
      <c r="E19" s="755">
        <v>28</v>
      </c>
      <c r="F19" s="755">
        <v>1363</v>
      </c>
      <c r="G19" s="755">
        <v>2</v>
      </c>
      <c r="H19" s="755">
        <v>38</v>
      </c>
      <c r="I19" s="756">
        <v>1102</v>
      </c>
      <c r="J19" s="743">
        <v>1432</v>
      </c>
      <c r="K19" s="743">
        <v>1432</v>
      </c>
      <c r="L19" s="756">
        <v>371</v>
      </c>
      <c r="M19" s="756">
        <v>0</v>
      </c>
      <c r="N19" s="743">
        <v>1432</v>
      </c>
    </row>
    <row r="20" spans="1:15" ht="18.75" customHeight="1" x14ac:dyDescent="0.2">
      <c r="A20" s="482">
        <v>12</v>
      </c>
      <c r="B20" s="483" t="s">
        <v>901</v>
      </c>
      <c r="C20" s="754">
        <v>2320</v>
      </c>
      <c r="D20" s="755">
        <v>0</v>
      </c>
      <c r="E20" s="755">
        <v>22</v>
      </c>
      <c r="F20" s="755">
        <v>2179</v>
      </c>
      <c r="G20" s="755">
        <v>2</v>
      </c>
      <c r="H20" s="755">
        <v>117</v>
      </c>
      <c r="I20" s="756">
        <v>1545</v>
      </c>
      <c r="J20" s="743">
        <v>2344</v>
      </c>
      <c r="K20" s="743">
        <v>2344</v>
      </c>
      <c r="L20" s="756">
        <v>568</v>
      </c>
      <c r="M20" s="756">
        <v>0</v>
      </c>
      <c r="N20" s="743">
        <v>2344</v>
      </c>
    </row>
    <row r="21" spans="1:15" ht="18.75" customHeight="1" x14ac:dyDescent="0.2">
      <c r="A21" s="482">
        <v>13</v>
      </c>
      <c r="B21" s="483" t="s">
        <v>902</v>
      </c>
      <c r="C21" s="754">
        <v>2261</v>
      </c>
      <c r="D21" s="755">
        <v>0</v>
      </c>
      <c r="E21" s="755">
        <v>20</v>
      </c>
      <c r="F21" s="755">
        <v>2174</v>
      </c>
      <c r="G21" s="755">
        <v>40</v>
      </c>
      <c r="H21" s="755">
        <v>27</v>
      </c>
      <c r="I21" s="756">
        <v>1482</v>
      </c>
      <c r="J21" s="743">
        <v>2268</v>
      </c>
      <c r="K21" s="743">
        <v>2268</v>
      </c>
      <c r="L21" s="756">
        <v>322</v>
      </c>
      <c r="M21" s="756">
        <v>0</v>
      </c>
      <c r="N21" s="743">
        <v>2268</v>
      </c>
    </row>
    <row r="22" spans="1:15" ht="18.75" customHeight="1" x14ac:dyDescent="0.2">
      <c r="A22" s="482">
        <v>14</v>
      </c>
      <c r="B22" s="483" t="s">
        <v>903</v>
      </c>
      <c r="C22" s="754">
        <v>2203</v>
      </c>
      <c r="D22" s="755">
        <v>0</v>
      </c>
      <c r="E22" s="755">
        <v>68</v>
      </c>
      <c r="F22" s="755">
        <v>2025</v>
      </c>
      <c r="G22" s="755">
        <v>44</v>
      </c>
      <c r="H22" s="755">
        <v>66</v>
      </c>
      <c r="I22" s="756">
        <v>2005</v>
      </c>
      <c r="J22" s="743">
        <v>2212</v>
      </c>
      <c r="K22" s="743">
        <v>2212</v>
      </c>
      <c r="L22" s="756">
        <v>298</v>
      </c>
      <c r="M22" s="756">
        <v>0</v>
      </c>
      <c r="N22" s="743">
        <v>2212</v>
      </c>
    </row>
    <row r="23" spans="1:15" ht="18.75" customHeight="1" x14ac:dyDescent="0.2">
      <c r="A23" s="482">
        <v>15</v>
      </c>
      <c r="B23" s="483" t="s">
        <v>904</v>
      </c>
      <c r="C23" s="754">
        <v>1477</v>
      </c>
      <c r="D23" s="755">
        <v>0</v>
      </c>
      <c r="E23" s="755">
        <v>5</v>
      </c>
      <c r="F23" s="755">
        <v>1396</v>
      </c>
      <c r="G23" s="755">
        <v>4</v>
      </c>
      <c r="H23" s="755">
        <v>72</v>
      </c>
      <c r="I23" s="756">
        <v>1144</v>
      </c>
      <c r="J23" s="743">
        <v>1482</v>
      </c>
      <c r="K23" s="743">
        <v>1482</v>
      </c>
      <c r="L23" s="756">
        <v>854</v>
      </c>
      <c r="M23" s="756">
        <v>0</v>
      </c>
      <c r="N23" s="743">
        <v>1482</v>
      </c>
    </row>
    <row r="24" spans="1:15" ht="18.75" customHeight="1" x14ac:dyDescent="0.2">
      <c r="A24" s="482">
        <v>16</v>
      </c>
      <c r="B24" s="483" t="s">
        <v>905</v>
      </c>
      <c r="C24" s="754">
        <v>1825</v>
      </c>
      <c r="D24" s="755">
        <v>0</v>
      </c>
      <c r="E24" s="755">
        <v>24</v>
      </c>
      <c r="F24" s="755">
        <v>1724</v>
      </c>
      <c r="G24" s="755">
        <v>0</v>
      </c>
      <c r="H24" s="755">
        <v>77</v>
      </c>
      <c r="I24" s="756">
        <v>1544</v>
      </c>
      <c r="J24" s="743">
        <v>1833</v>
      </c>
      <c r="K24" s="743">
        <v>1833</v>
      </c>
      <c r="L24" s="756">
        <v>254</v>
      </c>
      <c r="M24" s="756">
        <v>0</v>
      </c>
      <c r="N24" s="743">
        <v>1833</v>
      </c>
    </row>
    <row r="25" spans="1:15" ht="18.75" customHeight="1" x14ac:dyDescent="0.2">
      <c r="A25" s="482">
        <v>17</v>
      </c>
      <c r="B25" s="483" t="s">
        <v>906</v>
      </c>
      <c r="C25" s="754">
        <v>1566</v>
      </c>
      <c r="D25" s="755">
        <v>0</v>
      </c>
      <c r="E25" s="755">
        <v>14</v>
      </c>
      <c r="F25" s="755">
        <v>1462</v>
      </c>
      <c r="G25" s="755">
        <v>19</v>
      </c>
      <c r="H25" s="755">
        <v>71</v>
      </c>
      <c r="I25" s="756">
        <v>1425</v>
      </c>
      <c r="J25" s="743">
        <v>2019</v>
      </c>
      <c r="K25" s="743">
        <v>2019</v>
      </c>
      <c r="L25" s="756">
        <v>358</v>
      </c>
      <c r="M25" s="756">
        <v>0</v>
      </c>
      <c r="N25" s="743">
        <v>2019</v>
      </c>
    </row>
    <row r="26" spans="1:15" ht="18.75" customHeight="1" x14ac:dyDescent="0.2">
      <c r="A26" s="482">
        <v>18</v>
      </c>
      <c r="B26" s="483" t="s">
        <v>907</v>
      </c>
      <c r="C26" s="754">
        <v>1377</v>
      </c>
      <c r="D26" s="755">
        <v>0</v>
      </c>
      <c r="E26" s="755">
        <v>178</v>
      </c>
      <c r="F26" s="755">
        <v>1178</v>
      </c>
      <c r="G26" s="755">
        <v>7</v>
      </c>
      <c r="H26" s="755">
        <v>14</v>
      </c>
      <c r="I26" s="756">
        <v>956</v>
      </c>
      <c r="J26" s="743">
        <v>1386</v>
      </c>
      <c r="K26" s="743">
        <v>1386</v>
      </c>
      <c r="L26" s="756">
        <v>258</v>
      </c>
      <c r="M26" s="756">
        <v>0</v>
      </c>
      <c r="N26" s="743">
        <v>1386</v>
      </c>
    </row>
    <row r="27" spans="1:15" ht="18.75" customHeight="1" x14ac:dyDescent="0.2">
      <c r="A27" s="482">
        <v>19</v>
      </c>
      <c r="B27" s="483" t="s">
        <v>908</v>
      </c>
      <c r="C27" s="754">
        <v>1795</v>
      </c>
      <c r="D27" s="755">
        <v>0</v>
      </c>
      <c r="E27" s="755">
        <v>54</v>
      </c>
      <c r="F27" s="755">
        <v>1672</v>
      </c>
      <c r="G27" s="755">
        <v>1</v>
      </c>
      <c r="H27" s="755">
        <v>68</v>
      </c>
      <c r="I27" s="756">
        <v>1659</v>
      </c>
      <c r="J27" s="743">
        <v>1809</v>
      </c>
      <c r="K27" s="743">
        <v>1809</v>
      </c>
      <c r="L27" s="756">
        <v>547</v>
      </c>
      <c r="M27" s="756">
        <v>0</v>
      </c>
      <c r="N27" s="743">
        <v>1809</v>
      </c>
    </row>
    <row r="28" spans="1:15" ht="18.75" customHeight="1" x14ac:dyDescent="0.2">
      <c r="A28" s="482">
        <v>20</v>
      </c>
      <c r="B28" s="483" t="s">
        <v>909</v>
      </c>
      <c r="C28" s="757">
        <v>941</v>
      </c>
      <c r="D28" s="755">
        <v>0</v>
      </c>
      <c r="E28" s="758">
        <v>41</v>
      </c>
      <c r="F28" s="758">
        <v>879</v>
      </c>
      <c r="G28" s="758">
        <v>3</v>
      </c>
      <c r="H28" s="758">
        <v>18</v>
      </c>
      <c r="I28" s="756">
        <v>546</v>
      </c>
      <c r="J28" s="743">
        <v>941</v>
      </c>
      <c r="K28" s="743">
        <v>941</v>
      </c>
      <c r="L28" s="756">
        <v>325</v>
      </c>
      <c r="M28" s="756">
        <v>0</v>
      </c>
      <c r="N28" s="743">
        <v>941</v>
      </c>
    </row>
    <row r="29" spans="1:15" ht="18.75" customHeight="1" x14ac:dyDescent="0.2">
      <c r="A29" s="482">
        <v>21</v>
      </c>
      <c r="B29" s="483" t="s">
        <v>910</v>
      </c>
      <c r="C29" s="757">
        <v>559</v>
      </c>
      <c r="D29" s="755">
        <v>0</v>
      </c>
      <c r="E29" s="758">
        <v>133</v>
      </c>
      <c r="F29" s="758">
        <v>256</v>
      </c>
      <c r="G29" s="758">
        <v>15</v>
      </c>
      <c r="H29" s="758">
        <v>155</v>
      </c>
      <c r="I29" s="756">
        <v>425</v>
      </c>
      <c r="J29" s="743">
        <v>568</v>
      </c>
      <c r="K29" s="743">
        <v>568</v>
      </c>
      <c r="L29" s="756">
        <v>54</v>
      </c>
      <c r="M29" s="756">
        <v>0</v>
      </c>
      <c r="N29" s="743">
        <v>568</v>
      </c>
    </row>
    <row r="30" spans="1:15" ht="18.75" customHeight="1" x14ac:dyDescent="0.2">
      <c r="A30" s="482">
        <v>22</v>
      </c>
      <c r="B30" s="483" t="s">
        <v>911</v>
      </c>
      <c r="C30" s="757">
        <v>2900</v>
      </c>
      <c r="D30" s="755">
        <v>0</v>
      </c>
      <c r="E30" s="758">
        <v>234</v>
      </c>
      <c r="F30" s="758">
        <v>2521</v>
      </c>
      <c r="G30" s="758">
        <v>7</v>
      </c>
      <c r="H30" s="758">
        <v>138</v>
      </c>
      <c r="I30" s="756">
        <v>2541</v>
      </c>
      <c r="J30" s="743">
        <v>2905</v>
      </c>
      <c r="K30" s="743">
        <v>2905</v>
      </c>
      <c r="L30" s="756">
        <v>548</v>
      </c>
      <c r="M30" s="756">
        <v>0</v>
      </c>
      <c r="N30" s="743">
        <v>2905</v>
      </c>
    </row>
    <row r="31" spans="1:15" ht="18.75" customHeight="1" x14ac:dyDescent="0.2">
      <c r="A31" s="482">
        <v>23</v>
      </c>
      <c r="B31" s="483" t="s">
        <v>912</v>
      </c>
      <c r="C31" s="757">
        <v>1250</v>
      </c>
      <c r="D31" s="755">
        <v>0</v>
      </c>
      <c r="E31" s="758">
        <v>328</v>
      </c>
      <c r="F31" s="758">
        <v>895</v>
      </c>
      <c r="G31" s="758">
        <v>5</v>
      </c>
      <c r="H31" s="758">
        <v>22</v>
      </c>
      <c r="I31" s="756">
        <v>1025</v>
      </c>
      <c r="J31" s="743">
        <v>1279</v>
      </c>
      <c r="K31" s="743">
        <v>1279</v>
      </c>
      <c r="L31" s="756">
        <v>451</v>
      </c>
      <c r="M31" s="756">
        <v>0</v>
      </c>
      <c r="N31" s="743">
        <v>1279</v>
      </c>
    </row>
    <row r="32" spans="1:15" ht="18.75" customHeight="1" x14ac:dyDescent="0.2">
      <c r="A32" s="482">
        <v>24</v>
      </c>
      <c r="B32" s="483" t="s">
        <v>913</v>
      </c>
      <c r="C32" s="757">
        <v>2642</v>
      </c>
      <c r="D32" s="755">
        <v>0</v>
      </c>
      <c r="E32" s="758">
        <v>21</v>
      </c>
      <c r="F32" s="758">
        <v>2519</v>
      </c>
      <c r="G32" s="758">
        <v>10</v>
      </c>
      <c r="H32" s="758">
        <v>92</v>
      </c>
      <c r="I32" s="756">
        <v>2145</v>
      </c>
      <c r="J32" s="743">
        <v>2655</v>
      </c>
      <c r="K32" s="743">
        <v>2655</v>
      </c>
      <c r="L32" s="756">
        <v>522</v>
      </c>
      <c r="M32" s="756">
        <v>0</v>
      </c>
      <c r="N32" s="743">
        <v>2655</v>
      </c>
      <c r="O32" s="472" t="s">
        <v>397</v>
      </c>
    </row>
    <row r="33" spans="1:14" ht="18.75" customHeight="1" x14ac:dyDescent="0.2">
      <c r="A33" s="482">
        <v>25</v>
      </c>
      <c r="B33" s="483" t="s">
        <v>919</v>
      </c>
      <c r="C33" s="757">
        <v>1920</v>
      </c>
      <c r="D33" s="755">
        <v>0</v>
      </c>
      <c r="E33" s="758">
        <v>4</v>
      </c>
      <c r="F33" s="758">
        <v>1873</v>
      </c>
      <c r="G33" s="758">
        <v>3</v>
      </c>
      <c r="H33" s="758">
        <v>40</v>
      </c>
      <c r="I33" s="756">
        <f>J33</f>
        <v>1929</v>
      </c>
      <c r="J33" s="743">
        <v>1929</v>
      </c>
      <c r="K33" s="743">
        <v>1929</v>
      </c>
      <c r="L33" s="756">
        <v>451</v>
      </c>
      <c r="M33" s="756">
        <v>0</v>
      </c>
      <c r="N33" s="743">
        <v>1929</v>
      </c>
    </row>
    <row r="34" spans="1:14" ht="18.75" customHeight="1" x14ac:dyDescent="0.2">
      <c r="A34" s="482">
        <v>26</v>
      </c>
      <c r="B34" s="483" t="s">
        <v>914</v>
      </c>
      <c r="C34" s="757">
        <v>645</v>
      </c>
      <c r="D34" s="755">
        <v>0</v>
      </c>
      <c r="E34" s="758">
        <v>26</v>
      </c>
      <c r="F34" s="758">
        <v>573</v>
      </c>
      <c r="G34" s="758">
        <v>13</v>
      </c>
      <c r="H34" s="758">
        <v>33</v>
      </c>
      <c r="I34" s="756">
        <v>652</v>
      </c>
      <c r="J34" s="743">
        <v>1004</v>
      </c>
      <c r="K34" s="743">
        <v>1004</v>
      </c>
      <c r="L34" s="756">
        <v>98</v>
      </c>
      <c r="M34" s="756">
        <v>0</v>
      </c>
      <c r="N34" s="743">
        <v>1004</v>
      </c>
    </row>
    <row r="35" spans="1:14" ht="18.75" customHeight="1" x14ac:dyDescent="0.2">
      <c r="A35" s="482">
        <v>27</v>
      </c>
      <c r="B35" s="483" t="s">
        <v>915</v>
      </c>
      <c r="C35" s="757">
        <v>1919</v>
      </c>
      <c r="D35" s="755">
        <v>0</v>
      </c>
      <c r="E35" s="758">
        <v>18</v>
      </c>
      <c r="F35" s="758">
        <v>1762</v>
      </c>
      <c r="G35" s="758">
        <v>38</v>
      </c>
      <c r="H35" s="758">
        <v>101</v>
      </c>
      <c r="I35" s="756">
        <v>1744</v>
      </c>
      <c r="J35" s="743">
        <v>1976</v>
      </c>
      <c r="K35" s="743">
        <v>1976</v>
      </c>
      <c r="L35" s="756">
        <v>214</v>
      </c>
      <c r="M35" s="756">
        <v>0</v>
      </c>
      <c r="N35" s="743">
        <v>1976</v>
      </c>
    </row>
    <row r="36" spans="1:14" ht="21.75" customHeight="1" x14ac:dyDescent="0.2">
      <c r="A36" s="1029" t="s">
        <v>18</v>
      </c>
      <c r="B36" s="1030"/>
      <c r="C36" s="758">
        <f t="shared" ref="C36:H36" si="0">SUM(C9:C35)</f>
        <v>43788</v>
      </c>
      <c r="D36" s="758">
        <f t="shared" si="0"/>
        <v>0</v>
      </c>
      <c r="E36" s="758">
        <f t="shared" si="0"/>
        <v>1963</v>
      </c>
      <c r="F36" s="758">
        <f t="shared" si="0"/>
        <v>39367</v>
      </c>
      <c r="G36" s="758">
        <f t="shared" si="0"/>
        <v>315</v>
      </c>
      <c r="H36" s="758">
        <f t="shared" si="0"/>
        <v>2143</v>
      </c>
      <c r="I36" s="759">
        <f t="shared" ref="I36:N36" si="1">SUM(I9:I35)</f>
        <v>35985</v>
      </c>
      <c r="J36" s="759">
        <f t="shared" si="1"/>
        <v>44986</v>
      </c>
      <c r="K36" s="759">
        <f t="shared" si="1"/>
        <v>44986</v>
      </c>
      <c r="L36" s="759">
        <f t="shared" si="1"/>
        <v>9450</v>
      </c>
      <c r="M36" s="759">
        <f t="shared" si="1"/>
        <v>0</v>
      </c>
      <c r="N36" s="759">
        <f t="shared" si="1"/>
        <v>44986</v>
      </c>
    </row>
    <row r="39" spans="1:14" s="638" customFormat="1" ht="12.75" customHeight="1" x14ac:dyDescent="0.2"/>
    <row r="40" spans="1:14" s="638" customFormat="1" ht="12.75" customHeight="1" x14ac:dyDescent="0.2">
      <c r="J40" s="810" t="s">
        <v>13</v>
      </c>
      <c r="K40" s="810"/>
      <c r="L40" s="810"/>
      <c r="M40" s="810"/>
      <c r="N40" s="810"/>
    </row>
    <row r="41" spans="1:14" s="638" customFormat="1" ht="12.75" customHeight="1" x14ac:dyDescent="0.2">
      <c r="J41" s="810" t="s">
        <v>14</v>
      </c>
      <c r="K41" s="810"/>
      <c r="L41" s="810"/>
      <c r="M41" s="810"/>
      <c r="N41" s="810"/>
    </row>
    <row r="42" spans="1:14" s="638" customFormat="1" x14ac:dyDescent="0.2">
      <c r="J42" s="810" t="s">
        <v>918</v>
      </c>
      <c r="K42" s="810"/>
      <c r="L42" s="810"/>
      <c r="M42" s="810"/>
      <c r="N42" s="810"/>
    </row>
    <row r="43" spans="1:14" s="638" customFormat="1" ht="15" x14ac:dyDescent="0.25">
      <c r="A43" s="492" t="s">
        <v>12</v>
      </c>
      <c r="J43" s="657"/>
      <c r="K43" s="207" t="s">
        <v>82</v>
      </c>
      <c r="L43" s="207"/>
      <c r="M43" s="207"/>
      <c r="N43" s="207"/>
    </row>
    <row r="44" spans="1:14" s="638" customFormat="1" x14ac:dyDescent="0.2"/>
    <row r="45" spans="1:14" s="638" customFormat="1" x14ac:dyDescent="0.2"/>
  </sheetData>
  <mergeCells count="15">
    <mergeCell ref="J40:N40"/>
    <mergeCell ref="J41:N41"/>
    <mergeCell ref="J42:N42"/>
    <mergeCell ref="K6:N6"/>
    <mergeCell ref="A36:B36"/>
    <mergeCell ref="A1:K1"/>
    <mergeCell ref="A2:K2"/>
    <mergeCell ref="A4:H4"/>
    <mergeCell ref="L5:N5"/>
    <mergeCell ref="A6:A7"/>
    <mergeCell ref="B6:B7"/>
    <mergeCell ref="C6:C7"/>
    <mergeCell ref="D6:H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I44"/>
  <sheetViews>
    <sheetView topLeftCell="A16" zoomScaleSheetLayoutView="120" workbookViewId="0">
      <selection activeCell="D14" sqref="D14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922" t="s">
        <v>0</v>
      </c>
      <c r="B1" s="922"/>
      <c r="C1" s="922"/>
      <c r="D1" s="922"/>
      <c r="E1" s="922"/>
      <c r="F1" s="922"/>
      <c r="G1" s="922"/>
      <c r="H1" s="234" t="s">
        <v>514</v>
      </c>
    </row>
    <row r="2" spans="1:8" ht="21" x14ac:dyDescent="0.35">
      <c r="A2" s="923" t="s">
        <v>738</v>
      </c>
      <c r="B2" s="923"/>
      <c r="C2" s="923"/>
      <c r="D2" s="923"/>
      <c r="E2" s="923"/>
      <c r="F2" s="923"/>
      <c r="G2" s="923"/>
    </row>
    <row r="3" spans="1:8" ht="15" x14ac:dyDescent="0.3">
      <c r="A3" s="196"/>
      <c r="B3" s="196"/>
      <c r="C3" s="196"/>
      <c r="D3" s="196"/>
      <c r="E3" s="196"/>
      <c r="F3" s="196"/>
      <c r="G3" s="196"/>
    </row>
    <row r="4" spans="1:8" ht="18" x14ac:dyDescent="0.35">
      <c r="A4" s="922" t="s">
        <v>513</v>
      </c>
      <c r="B4" s="922"/>
      <c r="C4" s="922"/>
      <c r="D4" s="922"/>
      <c r="E4" s="922"/>
      <c r="F4" s="922"/>
      <c r="G4" s="922"/>
    </row>
    <row r="5" spans="1:8" ht="15" x14ac:dyDescent="0.3">
      <c r="A5" s="197" t="s">
        <v>917</v>
      </c>
      <c r="B5" s="197" t="s">
        <v>916</v>
      </c>
      <c r="C5" s="197"/>
      <c r="D5" s="197"/>
      <c r="E5" s="197"/>
      <c r="F5" s="1034" t="s">
        <v>1186</v>
      </c>
      <c r="G5" s="1034"/>
      <c r="H5" s="1034"/>
    </row>
    <row r="6" spans="1:8" ht="21.75" customHeight="1" x14ac:dyDescent="0.2">
      <c r="A6" s="991" t="s">
        <v>2</v>
      </c>
      <c r="B6" s="991" t="s">
        <v>494</v>
      </c>
      <c r="C6" s="824" t="s">
        <v>35</v>
      </c>
      <c r="D6" s="824" t="s">
        <v>499</v>
      </c>
      <c r="E6" s="824"/>
      <c r="F6" s="829" t="s">
        <v>500</v>
      </c>
      <c r="G6" s="829"/>
      <c r="H6" s="991" t="s">
        <v>223</v>
      </c>
    </row>
    <row r="7" spans="1:8" ht="25.5" customHeight="1" x14ac:dyDescent="0.2">
      <c r="A7" s="992"/>
      <c r="B7" s="992"/>
      <c r="C7" s="824"/>
      <c r="D7" s="5" t="s">
        <v>495</v>
      </c>
      <c r="E7" s="5" t="s">
        <v>496</v>
      </c>
      <c r="F7" s="69" t="s">
        <v>497</v>
      </c>
      <c r="G7" s="5" t="s">
        <v>498</v>
      </c>
      <c r="H7" s="992"/>
    </row>
    <row r="8" spans="1:8" ht="15" x14ac:dyDescent="0.2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200" t="s">
        <v>263</v>
      </c>
      <c r="H8" s="200">
        <v>8</v>
      </c>
    </row>
    <row r="9" spans="1:8" ht="18" customHeight="1" x14ac:dyDescent="0.2">
      <c r="A9" s="281">
        <v>1</v>
      </c>
      <c r="B9" s="1031" t="s">
        <v>951</v>
      </c>
      <c r="C9" s="419" t="s">
        <v>890</v>
      </c>
      <c r="D9" s="762">
        <v>10</v>
      </c>
      <c r="E9" s="763">
        <f>D9/2</f>
        <v>5</v>
      </c>
      <c r="F9" s="802">
        <v>3</v>
      </c>
      <c r="G9" s="802">
        <v>2</v>
      </c>
      <c r="H9" s="1035" t="s">
        <v>1190</v>
      </c>
    </row>
    <row r="10" spans="1:8" ht="15" x14ac:dyDescent="0.2">
      <c r="A10" s="281">
        <v>2</v>
      </c>
      <c r="B10" s="1032"/>
      <c r="C10" s="419" t="s">
        <v>891</v>
      </c>
      <c r="D10" s="762">
        <v>12</v>
      </c>
      <c r="E10" s="763">
        <v>5</v>
      </c>
      <c r="F10" s="802">
        <v>2</v>
      </c>
      <c r="G10" s="802">
        <v>3</v>
      </c>
      <c r="H10" s="1036"/>
    </row>
    <row r="11" spans="1:8" ht="15" x14ac:dyDescent="0.2">
      <c r="A11" s="281">
        <v>3</v>
      </c>
      <c r="B11" s="1032"/>
      <c r="C11" s="419" t="s">
        <v>892</v>
      </c>
      <c r="D11" s="762">
        <v>12</v>
      </c>
      <c r="E11" s="763">
        <f t="shared" ref="E11:E35" si="0">D11/2</f>
        <v>6</v>
      </c>
      <c r="F11" s="802">
        <v>4</v>
      </c>
      <c r="G11" s="802">
        <v>2</v>
      </c>
      <c r="H11" s="1036"/>
    </row>
    <row r="12" spans="1:8" ht="15" x14ac:dyDescent="0.2">
      <c r="A12" s="281">
        <v>4</v>
      </c>
      <c r="B12" s="1032"/>
      <c r="C12" s="419" t="s">
        <v>893</v>
      </c>
      <c r="D12" s="762">
        <v>14</v>
      </c>
      <c r="E12" s="763">
        <f t="shared" si="0"/>
        <v>7</v>
      </c>
      <c r="F12" s="802">
        <v>3</v>
      </c>
      <c r="G12" s="802">
        <v>4</v>
      </c>
      <c r="H12" s="1036"/>
    </row>
    <row r="13" spans="1:8" ht="15" x14ac:dyDescent="0.2">
      <c r="A13" s="281">
        <v>5</v>
      </c>
      <c r="B13" s="1032"/>
      <c r="C13" s="419" t="s">
        <v>894</v>
      </c>
      <c r="D13" s="762">
        <v>8</v>
      </c>
      <c r="E13" s="763">
        <f t="shared" si="0"/>
        <v>4</v>
      </c>
      <c r="F13" s="802">
        <v>2</v>
      </c>
      <c r="G13" s="802">
        <v>2</v>
      </c>
      <c r="H13" s="1036"/>
    </row>
    <row r="14" spans="1:8" ht="15" x14ac:dyDescent="0.2">
      <c r="A14" s="281">
        <v>6</v>
      </c>
      <c r="B14" s="1032"/>
      <c r="C14" s="419" t="s">
        <v>895</v>
      </c>
      <c r="D14" s="762">
        <v>8</v>
      </c>
      <c r="E14" s="763">
        <f t="shared" si="0"/>
        <v>4</v>
      </c>
      <c r="F14" s="802">
        <v>2</v>
      </c>
      <c r="G14" s="802">
        <v>2</v>
      </c>
      <c r="H14" s="1036"/>
    </row>
    <row r="15" spans="1:8" ht="15" x14ac:dyDescent="0.2">
      <c r="A15" s="281">
        <v>7</v>
      </c>
      <c r="B15" s="1032"/>
      <c r="C15" s="419" t="s">
        <v>896</v>
      </c>
      <c r="D15" s="762">
        <v>16</v>
      </c>
      <c r="E15" s="763">
        <v>9</v>
      </c>
      <c r="F15" s="802">
        <v>6</v>
      </c>
      <c r="G15" s="802">
        <v>3</v>
      </c>
      <c r="H15" s="1036"/>
    </row>
    <row r="16" spans="1:8" ht="15" x14ac:dyDescent="0.2">
      <c r="A16" s="281">
        <v>8</v>
      </c>
      <c r="B16" s="1032"/>
      <c r="C16" s="419" t="s">
        <v>897</v>
      </c>
      <c r="D16" s="762">
        <v>8</v>
      </c>
      <c r="E16" s="763">
        <f t="shared" si="0"/>
        <v>4</v>
      </c>
      <c r="F16" s="802">
        <v>3</v>
      </c>
      <c r="G16" s="802">
        <v>1</v>
      </c>
      <c r="H16" s="1036"/>
    </row>
    <row r="17" spans="1:9" ht="15" x14ac:dyDescent="0.2">
      <c r="A17" s="281">
        <v>9</v>
      </c>
      <c r="B17" s="1032"/>
      <c r="C17" s="419" t="s">
        <v>898</v>
      </c>
      <c r="D17" s="762">
        <v>10</v>
      </c>
      <c r="E17" s="763">
        <v>6</v>
      </c>
      <c r="F17" s="802">
        <v>3</v>
      </c>
      <c r="G17" s="802">
        <v>3</v>
      </c>
      <c r="H17" s="1036"/>
    </row>
    <row r="18" spans="1:9" ht="15" x14ac:dyDescent="0.2">
      <c r="A18" s="281">
        <v>10</v>
      </c>
      <c r="B18" s="1032"/>
      <c r="C18" s="419" t="s">
        <v>899</v>
      </c>
      <c r="D18" s="762">
        <v>8</v>
      </c>
      <c r="E18" s="763">
        <v>5</v>
      </c>
      <c r="F18" s="802">
        <v>2</v>
      </c>
      <c r="G18" s="802">
        <v>3</v>
      </c>
      <c r="H18" s="1036"/>
    </row>
    <row r="19" spans="1:9" ht="15" customHeight="1" x14ac:dyDescent="0.2">
      <c r="A19" s="281">
        <v>11</v>
      </c>
      <c r="B19" s="1032"/>
      <c r="C19" s="419" t="s">
        <v>900</v>
      </c>
      <c r="D19" s="762">
        <v>10</v>
      </c>
      <c r="E19" s="763">
        <f t="shared" si="0"/>
        <v>5</v>
      </c>
      <c r="F19" s="802">
        <v>3</v>
      </c>
      <c r="G19" s="802">
        <v>2</v>
      </c>
      <c r="H19" s="1036"/>
    </row>
    <row r="20" spans="1:9" ht="15" x14ac:dyDescent="0.2">
      <c r="A20" s="281">
        <v>12</v>
      </c>
      <c r="B20" s="1032"/>
      <c r="C20" s="419" t="s">
        <v>941</v>
      </c>
      <c r="D20" s="762">
        <v>18</v>
      </c>
      <c r="E20" s="763">
        <v>8</v>
      </c>
      <c r="F20" s="802">
        <v>2</v>
      </c>
      <c r="G20" s="802">
        <v>6</v>
      </c>
      <c r="H20" s="1036"/>
    </row>
    <row r="21" spans="1:9" ht="15" x14ac:dyDescent="0.2">
      <c r="A21" s="281">
        <v>13</v>
      </c>
      <c r="B21" s="1032"/>
      <c r="C21" s="419" t="s">
        <v>902</v>
      </c>
      <c r="D21" s="762">
        <v>16</v>
      </c>
      <c r="E21" s="763">
        <f t="shared" si="0"/>
        <v>8</v>
      </c>
      <c r="F21" s="802">
        <v>2</v>
      </c>
      <c r="G21" s="802">
        <v>6</v>
      </c>
      <c r="H21" s="1036"/>
    </row>
    <row r="22" spans="1:9" ht="15" x14ac:dyDescent="0.2">
      <c r="A22" s="281">
        <v>14</v>
      </c>
      <c r="B22" s="1032"/>
      <c r="C22" s="419" t="s">
        <v>903</v>
      </c>
      <c r="D22" s="762">
        <v>14</v>
      </c>
      <c r="E22" s="763">
        <f t="shared" si="0"/>
        <v>7</v>
      </c>
      <c r="F22" s="802">
        <v>5</v>
      </c>
      <c r="G22" s="802">
        <v>2</v>
      </c>
      <c r="H22" s="1036"/>
    </row>
    <row r="23" spans="1:9" ht="15" x14ac:dyDescent="0.2">
      <c r="A23" s="281">
        <v>15</v>
      </c>
      <c r="B23" s="1032"/>
      <c r="C23" s="419" t="s">
        <v>904</v>
      </c>
      <c r="D23" s="762">
        <v>8</v>
      </c>
      <c r="E23" s="763">
        <f t="shared" si="0"/>
        <v>4</v>
      </c>
      <c r="F23" s="802">
        <v>4</v>
      </c>
      <c r="G23" s="802">
        <v>0</v>
      </c>
      <c r="H23" s="1036"/>
    </row>
    <row r="24" spans="1:9" ht="15" x14ac:dyDescent="0.2">
      <c r="A24" s="281">
        <v>16</v>
      </c>
      <c r="B24" s="1032"/>
      <c r="C24" s="419" t="s">
        <v>905</v>
      </c>
      <c r="D24" s="762">
        <v>10</v>
      </c>
      <c r="E24" s="763">
        <f t="shared" si="0"/>
        <v>5</v>
      </c>
      <c r="F24" s="802">
        <v>5</v>
      </c>
      <c r="G24" s="802">
        <v>0</v>
      </c>
      <c r="H24" s="1036"/>
    </row>
    <row r="25" spans="1:9" ht="15" x14ac:dyDescent="0.2">
      <c r="A25" s="281">
        <v>17</v>
      </c>
      <c r="B25" s="1032"/>
      <c r="C25" s="419" t="s">
        <v>906</v>
      </c>
      <c r="D25" s="762">
        <v>10</v>
      </c>
      <c r="E25" s="763">
        <f t="shared" si="0"/>
        <v>5</v>
      </c>
      <c r="F25" s="802">
        <v>4</v>
      </c>
      <c r="G25" s="802">
        <v>1</v>
      </c>
      <c r="H25" s="1036"/>
    </row>
    <row r="26" spans="1:9" ht="15" x14ac:dyDescent="0.2">
      <c r="A26" s="281">
        <v>18</v>
      </c>
      <c r="B26" s="1032"/>
      <c r="C26" s="419" t="s">
        <v>907</v>
      </c>
      <c r="D26" s="762">
        <v>10</v>
      </c>
      <c r="E26" s="763">
        <v>3</v>
      </c>
      <c r="F26" s="802">
        <v>2</v>
      </c>
      <c r="G26" s="802">
        <v>1</v>
      </c>
      <c r="H26" s="1036"/>
    </row>
    <row r="27" spans="1:9" ht="15" x14ac:dyDescent="0.2">
      <c r="A27" s="281">
        <v>19</v>
      </c>
      <c r="B27" s="1032"/>
      <c r="C27" s="419" t="s">
        <v>908</v>
      </c>
      <c r="D27" s="760">
        <v>10</v>
      </c>
      <c r="E27" s="763">
        <f t="shared" si="0"/>
        <v>5</v>
      </c>
      <c r="F27" s="796">
        <v>4</v>
      </c>
      <c r="G27" s="796">
        <v>1</v>
      </c>
      <c r="H27" s="1036"/>
    </row>
    <row r="28" spans="1:9" ht="15" x14ac:dyDescent="0.2">
      <c r="A28" s="281">
        <v>20</v>
      </c>
      <c r="B28" s="1032"/>
      <c r="C28" s="419" t="s">
        <v>909</v>
      </c>
      <c r="D28" s="760">
        <v>6</v>
      </c>
      <c r="E28" s="763">
        <f t="shared" si="0"/>
        <v>3</v>
      </c>
      <c r="F28" s="796">
        <v>2</v>
      </c>
      <c r="G28" s="796">
        <v>1</v>
      </c>
      <c r="H28" s="1036"/>
    </row>
    <row r="29" spans="1:9" ht="15" x14ac:dyDescent="0.2">
      <c r="A29" s="281">
        <v>21</v>
      </c>
      <c r="B29" s="1032"/>
      <c r="C29" s="419" t="s">
        <v>910</v>
      </c>
      <c r="D29" s="760">
        <v>4</v>
      </c>
      <c r="E29" s="763">
        <f t="shared" si="0"/>
        <v>2</v>
      </c>
      <c r="F29" s="796">
        <v>2</v>
      </c>
      <c r="G29" s="796">
        <v>0</v>
      </c>
      <c r="H29" s="1036"/>
    </row>
    <row r="30" spans="1:9" ht="15" x14ac:dyDescent="0.2">
      <c r="A30" s="281">
        <v>22</v>
      </c>
      <c r="B30" s="1032"/>
      <c r="C30" s="419" t="s">
        <v>911</v>
      </c>
      <c r="D30" s="760">
        <v>18</v>
      </c>
      <c r="E30" s="763">
        <f t="shared" si="0"/>
        <v>9</v>
      </c>
      <c r="F30" s="796">
        <v>7</v>
      </c>
      <c r="G30" s="796">
        <v>2</v>
      </c>
      <c r="H30" s="1036"/>
    </row>
    <row r="31" spans="1:9" ht="15" x14ac:dyDescent="0.2">
      <c r="A31" s="281">
        <v>23</v>
      </c>
      <c r="B31" s="1032"/>
      <c r="C31" s="419" t="s">
        <v>912</v>
      </c>
      <c r="D31" s="760">
        <v>10</v>
      </c>
      <c r="E31" s="763">
        <v>6</v>
      </c>
      <c r="F31" s="796">
        <v>3</v>
      </c>
      <c r="G31" s="796">
        <v>3</v>
      </c>
      <c r="H31" s="1036"/>
      <c r="I31" s="15" t="s">
        <v>397</v>
      </c>
    </row>
    <row r="32" spans="1:9" ht="15" x14ac:dyDescent="0.2">
      <c r="A32" s="281">
        <v>24</v>
      </c>
      <c r="B32" s="1032"/>
      <c r="C32" s="419" t="s">
        <v>913</v>
      </c>
      <c r="D32" s="760">
        <v>18</v>
      </c>
      <c r="E32" s="763">
        <f t="shared" si="0"/>
        <v>9</v>
      </c>
      <c r="F32" s="796">
        <v>6</v>
      </c>
      <c r="G32" s="796">
        <v>3</v>
      </c>
      <c r="H32" s="1036"/>
    </row>
    <row r="33" spans="1:8" ht="15" x14ac:dyDescent="0.2">
      <c r="A33" s="281">
        <v>25</v>
      </c>
      <c r="B33" s="1032"/>
      <c r="C33" s="419" t="s">
        <v>919</v>
      </c>
      <c r="D33" s="760">
        <v>16</v>
      </c>
      <c r="E33" s="763">
        <v>9</v>
      </c>
      <c r="F33" s="796">
        <v>9</v>
      </c>
      <c r="G33" s="796">
        <v>0</v>
      </c>
      <c r="H33" s="1036"/>
    </row>
    <row r="34" spans="1:8" ht="15" x14ac:dyDescent="0.2">
      <c r="A34" s="281">
        <v>26</v>
      </c>
      <c r="B34" s="1032"/>
      <c r="C34" s="419" t="s">
        <v>914</v>
      </c>
      <c r="D34" s="760">
        <v>6</v>
      </c>
      <c r="E34" s="763">
        <f t="shared" si="0"/>
        <v>3</v>
      </c>
      <c r="F34" s="796">
        <v>2</v>
      </c>
      <c r="G34" s="796">
        <v>1</v>
      </c>
      <c r="H34" s="1036"/>
    </row>
    <row r="35" spans="1:8" ht="15" x14ac:dyDescent="0.2">
      <c r="A35" s="281">
        <v>27</v>
      </c>
      <c r="B35" s="1033"/>
      <c r="C35" s="419" t="s">
        <v>915</v>
      </c>
      <c r="D35" s="760">
        <v>12</v>
      </c>
      <c r="E35" s="763">
        <f t="shared" si="0"/>
        <v>6</v>
      </c>
      <c r="F35" s="796">
        <v>3</v>
      </c>
      <c r="G35" s="796">
        <v>3</v>
      </c>
      <c r="H35" s="1037"/>
    </row>
    <row r="36" spans="1:8" x14ac:dyDescent="0.2">
      <c r="A36" s="30" t="s">
        <v>18</v>
      </c>
      <c r="B36" s="9"/>
      <c r="C36" s="9"/>
      <c r="D36" s="761">
        <f>SUM(D9:D35)</f>
        <v>302</v>
      </c>
      <c r="E36" s="761">
        <f>SUM(E9:E35)</f>
        <v>152</v>
      </c>
      <c r="F36" s="761">
        <f t="shared" ref="F36:G36" si="1">SUM(F9:F35)</f>
        <v>95</v>
      </c>
      <c r="G36" s="761">
        <f t="shared" si="1"/>
        <v>57</v>
      </c>
      <c r="H36" s="9"/>
    </row>
    <row r="39" spans="1:8" s="488" customFormat="1" ht="12.75" customHeight="1" x14ac:dyDescent="0.2">
      <c r="A39" s="203"/>
      <c r="B39" s="203"/>
      <c r="C39" s="203"/>
      <c r="D39" s="203"/>
      <c r="F39" s="215"/>
      <c r="G39" s="215"/>
      <c r="H39" s="215"/>
    </row>
    <row r="40" spans="1:8" s="488" customFormat="1" ht="12.75" customHeight="1" x14ac:dyDescent="0.2">
      <c r="A40" s="203"/>
      <c r="B40" s="203"/>
      <c r="C40" s="203"/>
      <c r="D40" s="203"/>
      <c r="F40" s="215"/>
      <c r="G40" s="215"/>
      <c r="H40" s="215"/>
    </row>
    <row r="41" spans="1:8" s="488" customFormat="1" ht="12.75" customHeight="1" x14ac:dyDescent="0.2">
      <c r="A41" s="203"/>
      <c r="B41" s="203"/>
      <c r="C41" s="203"/>
      <c r="D41" s="810" t="s">
        <v>13</v>
      </c>
      <c r="E41" s="810"/>
      <c r="F41" s="810"/>
      <c r="G41" s="810"/>
      <c r="H41" s="810"/>
    </row>
    <row r="42" spans="1:8" s="488" customFormat="1" x14ac:dyDescent="0.2">
      <c r="A42" s="203"/>
      <c r="C42" s="203"/>
      <c r="D42" s="810" t="s">
        <v>14</v>
      </c>
      <c r="E42" s="810"/>
      <c r="F42" s="810"/>
      <c r="G42" s="810"/>
      <c r="H42" s="810"/>
    </row>
    <row r="43" spans="1:8" s="488" customFormat="1" x14ac:dyDescent="0.2">
      <c r="D43" s="810" t="s">
        <v>918</v>
      </c>
      <c r="E43" s="810"/>
      <c r="F43" s="810"/>
      <c r="G43" s="810"/>
      <c r="H43" s="810"/>
    </row>
    <row r="44" spans="1:8" ht="15" x14ac:dyDescent="0.25">
      <c r="A44" s="492" t="s">
        <v>12</v>
      </c>
      <c r="D44" s="657"/>
      <c r="E44" s="207" t="s">
        <v>82</v>
      </c>
      <c r="F44" s="207"/>
      <c r="G44" s="207"/>
      <c r="H44" s="207"/>
    </row>
  </sheetData>
  <mergeCells count="15">
    <mergeCell ref="D41:H41"/>
    <mergeCell ref="D42:H42"/>
    <mergeCell ref="D43:H43"/>
    <mergeCell ref="B9:B35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F5:H5"/>
    <mergeCell ref="H9:H3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1:N34"/>
  <sheetViews>
    <sheetView topLeftCell="A16" zoomScaleSheetLayoutView="84" workbookViewId="0">
      <selection activeCell="K20" sqref="K20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922" t="s">
        <v>0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234" t="s">
        <v>516</v>
      </c>
    </row>
    <row r="2" spans="1:12" ht="21" x14ac:dyDescent="0.35">
      <c r="A2" s="923" t="s">
        <v>738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</row>
    <row r="3" spans="1:12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2" ht="18" x14ac:dyDescent="0.35">
      <c r="A4" s="922" t="s">
        <v>515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</row>
    <row r="5" spans="1:12" ht="15" x14ac:dyDescent="0.3">
      <c r="A5" s="197" t="s">
        <v>917</v>
      </c>
      <c r="B5" s="197" t="s">
        <v>916</v>
      </c>
      <c r="C5" s="197"/>
      <c r="D5" s="197"/>
      <c r="E5" s="197"/>
      <c r="F5" s="197"/>
      <c r="G5" s="197"/>
      <c r="H5" s="197"/>
      <c r="I5" s="197"/>
      <c r="J5" s="990" t="s">
        <v>1186</v>
      </c>
      <c r="K5" s="990"/>
      <c r="L5" s="990"/>
    </row>
    <row r="6" spans="1:12" ht="21.75" customHeight="1" x14ac:dyDescent="0.2">
      <c r="A6" s="991" t="s">
        <v>2</v>
      </c>
      <c r="B6" s="991" t="s">
        <v>35</v>
      </c>
      <c r="C6" s="828" t="s">
        <v>460</v>
      </c>
      <c r="D6" s="829"/>
      <c r="E6" s="830"/>
      <c r="F6" s="828" t="s">
        <v>466</v>
      </c>
      <c r="G6" s="829"/>
      <c r="H6" s="829"/>
      <c r="I6" s="830"/>
      <c r="J6" s="824" t="s">
        <v>468</v>
      </c>
      <c r="K6" s="824"/>
      <c r="L6" s="824"/>
    </row>
    <row r="7" spans="1:12" ht="29.25" customHeight="1" x14ac:dyDescent="0.2">
      <c r="A7" s="992"/>
      <c r="B7" s="992"/>
      <c r="C7" s="226" t="s">
        <v>213</v>
      </c>
      <c r="D7" s="226" t="s">
        <v>462</v>
      </c>
      <c r="E7" s="226" t="s">
        <v>467</v>
      </c>
      <c r="F7" s="226" t="s">
        <v>213</v>
      </c>
      <c r="G7" s="226" t="s">
        <v>461</v>
      </c>
      <c r="H7" s="226" t="s">
        <v>463</v>
      </c>
      <c r="I7" s="226" t="s">
        <v>467</v>
      </c>
      <c r="J7" s="5" t="s">
        <v>464</v>
      </c>
      <c r="K7" s="5" t="s">
        <v>465</v>
      </c>
      <c r="L7" s="226" t="s">
        <v>467</v>
      </c>
    </row>
    <row r="8" spans="1:12" ht="15" x14ac:dyDescent="0.2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200" t="s">
        <v>263</v>
      </c>
      <c r="H8" s="200" t="s">
        <v>264</v>
      </c>
      <c r="I8" s="200" t="s">
        <v>283</v>
      </c>
      <c r="J8" s="200" t="s">
        <v>284</v>
      </c>
      <c r="K8" s="200" t="s">
        <v>285</v>
      </c>
      <c r="L8" s="200" t="s">
        <v>313</v>
      </c>
    </row>
    <row r="9" spans="1:12" ht="15" x14ac:dyDescent="0.2">
      <c r="A9" s="18">
        <v>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ht="15" x14ac:dyDescent="0.2">
      <c r="A10" s="18">
        <v>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ht="15" x14ac:dyDescent="0.2">
      <c r="A11" s="18">
        <v>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2" ht="15" x14ac:dyDescent="0.2">
      <c r="A12" s="18">
        <v>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5" x14ac:dyDescent="0.2">
      <c r="A13" s="18">
        <v>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ht="15" x14ac:dyDescent="0.2">
      <c r="A14" s="18">
        <v>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5" x14ac:dyDescent="0.2">
      <c r="A15" s="18">
        <v>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</row>
    <row r="16" spans="1:12" ht="15" x14ac:dyDescent="0.2">
      <c r="A16" s="18">
        <v>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4" ht="15" x14ac:dyDescent="0.2">
      <c r="A17" s="18">
        <v>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1:14" x14ac:dyDescent="0.2">
      <c r="A18" s="18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11</v>
      </c>
    </row>
    <row r="19" spans="1:14" x14ac:dyDescent="0.2">
      <c r="A19" s="18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x14ac:dyDescent="0.2">
      <c r="A20" s="18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x14ac:dyDescent="0.2">
      <c r="A21" s="20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x14ac:dyDescent="0.2">
      <c r="A22" s="18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9" t="s">
        <v>397</v>
      </c>
    </row>
    <row r="23" spans="1:14" x14ac:dyDescent="0.2">
      <c r="A23" s="18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">
      <c r="A25" s="20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">
      <c r="A26" s="3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9" spans="1:14" s="488" customFormat="1" ht="12.75" customHeight="1" x14ac:dyDescent="0.2">
      <c r="A29" s="203"/>
      <c r="B29" s="203"/>
      <c r="C29" s="203"/>
      <c r="D29" s="203"/>
      <c r="E29" s="203"/>
      <c r="F29" s="203"/>
      <c r="K29" s="566"/>
    </row>
    <row r="30" spans="1:14" s="488" customFormat="1" ht="12.75" customHeight="1" x14ac:dyDescent="0.2">
      <c r="A30" s="203"/>
      <c r="B30" s="203"/>
      <c r="C30" s="203"/>
      <c r="D30" s="203"/>
      <c r="E30" s="203"/>
      <c r="F30" s="203"/>
      <c r="J30" s="215"/>
      <c r="K30" s="215"/>
      <c r="L30" s="215"/>
    </row>
    <row r="31" spans="1:14" s="488" customFormat="1" ht="12.75" customHeight="1" x14ac:dyDescent="0.2">
      <c r="A31" s="203"/>
      <c r="B31" s="203"/>
      <c r="C31" s="203"/>
      <c r="D31" s="203"/>
      <c r="E31" s="203"/>
      <c r="F31" s="203"/>
      <c r="H31" s="810" t="s">
        <v>13</v>
      </c>
      <c r="I31" s="810"/>
      <c r="J31" s="810"/>
      <c r="K31" s="810"/>
      <c r="L31" s="810"/>
    </row>
    <row r="32" spans="1:14" s="488" customFormat="1" x14ac:dyDescent="0.2">
      <c r="A32" s="203"/>
      <c r="F32" s="203"/>
      <c r="H32" s="810" t="s">
        <v>14</v>
      </c>
      <c r="I32" s="810"/>
      <c r="J32" s="810"/>
      <c r="K32" s="810"/>
      <c r="L32" s="810"/>
    </row>
    <row r="33" spans="1:12" s="488" customFormat="1" x14ac:dyDescent="0.2">
      <c r="H33" s="810" t="s">
        <v>918</v>
      </c>
      <c r="I33" s="810"/>
      <c r="J33" s="810"/>
      <c r="K33" s="810"/>
      <c r="L33" s="810"/>
    </row>
    <row r="34" spans="1:12" s="488" customFormat="1" ht="15" x14ac:dyDescent="0.25">
      <c r="A34" s="492" t="s">
        <v>12</v>
      </c>
      <c r="H34" s="657"/>
      <c r="I34" s="207" t="s">
        <v>82</v>
      </c>
      <c r="J34" s="207"/>
      <c r="K34" s="207"/>
      <c r="L34" s="207"/>
    </row>
  </sheetData>
  <mergeCells count="12">
    <mergeCell ref="H31:L31"/>
    <mergeCell ref="H32:L32"/>
    <mergeCell ref="H33:L33"/>
    <mergeCell ref="A2:K2"/>
    <mergeCell ref="A4:K4"/>
    <mergeCell ref="J5:L5"/>
    <mergeCell ref="A1:K1"/>
    <mergeCell ref="C6:E6"/>
    <mergeCell ref="F6:I6"/>
    <mergeCell ref="J6:L6"/>
    <mergeCell ref="A6:A7"/>
    <mergeCell ref="B6:B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1:K44"/>
  <sheetViews>
    <sheetView zoomScaleSheetLayoutView="80" workbookViewId="0">
      <selection activeCell="J9" sqref="J9"/>
    </sheetView>
  </sheetViews>
  <sheetFormatPr defaultRowHeight="12.75" x14ac:dyDescent="0.2"/>
  <cols>
    <col min="1" max="1" width="7.7109375" customWidth="1"/>
    <col min="2" max="2" width="16.85546875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922" t="s">
        <v>0</v>
      </c>
      <c r="B1" s="922"/>
      <c r="C1" s="922"/>
      <c r="D1" s="922"/>
      <c r="E1" s="922"/>
      <c r="F1" s="922"/>
      <c r="G1" s="922"/>
      <c r="H1" s="922"/>
      <c r="I1" s="286"/>
      <c r="J1" s="286"/>
      <c r="K1" s="234" t="s">
        <v>518</v>
      </c>
    </row>
    <row r="2" spans="1:11" ht="21" x14ac:dyDescent="0.35">
      <c r="A2" s="923" t="s">
        <v>738</v>
      </c>
      <c r="B2" s="923"/>
      <c r="C2" s="923"/>
      <c r="D2" s="923"/>
      <c r="E2" s="923"/>
      <c r="F2" s="923"/>
      <c r="G2" s="923"/>
      <c r="H2" s="923"/>
      <c r="I2" s="195"/>
      <c r="J2" s="195"/>
    </row>
    <row r="3" spans="1:11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1" ht="18" x14ac:dyDescent="0.35">
      <c r="A4" s="922" t="s">
        <v>517</v>
      </c>
      <c r="B4" s="922"/>
      <c r="C4" s="922"/>
      <c r="D4" s="922"/>
      <c r="E4" s="922"/>
      <c r="F4" s="922"/>
      <c r="G4" s="922"/>
      <c r="H4" s="922"/>
      <c r="I4" s="286"/>
      <c r="J4" s="286"/>
    </row>
    <row r="5" spans="1:11" ht="15" x14ac:dyDescent="0.3">
      <c r="A5" s="197" t="s">
        <v>917</v>
      </c>
      <c r="B5" s="197" t="s">
        <v>916</v>
      </c>
      <c r="C5" s="197"/>
      <c r="D5" s="197"/>
      <c r="E5" s="197"/>
      <c r="F5" s="197"/>
      <c r="G5" s="990" t="s">
        <v>1186</v>
      </c>
      <c r="H5" s="990"/>
      <c r="I5" s="990"/>
      <c r="J5" s="990"/>
      <c r="K5" s="990"/>
    </row>
    <row r="6" spans="1:11" ht="21.75" customHeight="1" x14ac:dyDescent="0.2">
      <c r="A6" s="991" t="s">
        <v>2</v>
      </c>
      <c r="B6" s="991" t="s">
        <v>35</v>
      </c>
      <c r="C6" s="828" t="s">
        <v>478</v>
      </c>
      <c r="D6" s="829"/>
      <c r="E6" s="830"/>
      <c r="F6" s="828" t="s">
        <v>481</v>
      </c>
      <c r="G6" s="829"/>
      <c r="H6" s="830"/>
      <c r="I6" s="929" t="s">
        <v>644</v>
      </c>
      <c r="J6" s="929" t="s">
        <v>643</v>
      </c>
      <c r="K6" s="929" t="s">
        <v>76</v>
      </c>
    </row>
    <row r="7" spans="1:11" ht="29.25" customHeight="1" x14ac:dyDescent="0.2">
      <c r="A7" s="992"/>
      <c r="B7" s="992"/>
      <c r="C7" s="5" t="s">
        <v>477</v>
      </c>
      <c r="D7" s="5" t="s">
        <v>479</v>
      </c>
      <c r="E7" s="5" t="s">
        <v>480</v>
      </c>
      <c r="F7" s="5" t="s">
        <v>477</v>
      </c>
      <c r="G7" s="5" t="s">
        <v>479</v>
      </c>
      <c r="H7" s="5" t="s">
        <v>480</v>
      </c>
      <c r="I7" s="930"/>
      <c r="J7" s="930"/>
      <c r="K7" s="930"/>
    </row>
    <row r="8" spans="1:11" ht="15" x14ac:dyDescent="0.2">
      <c r="A8" s="282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</row>
    <row r="9" spans="1:11" ht="15" x14ac:dyDescent="0.2">
      <c r="A9" s="281">
        <v>1</v>
      </c>
      <c r="B9" s="419" t="s">
        <v>890</v>
      </c>
      <c r="C9" s="282">
        <f>'AT-3'!F9</f>
        <v>1239</v>
      </c>
      <c r="D9" s="505">
        <v>15</v>
      </c>
      <c r="E9" s="505">
        <f>'enrolment vs availed_PY'!G11+'enrolment vs availed_UPY'!G11</f>
        <v>81458</v>
      </c>
      <c r="F9" s="8">
        <v>1239</v>
      </c>
      <c r="G9" s="505">
        <v>15</v>
      </c>
      <c r="H9" s="505">
        <v>80884</v>
      </c>
      <c r="I9" s="801">
        <v>386.46999999999997</v>
      </c>
      <c r="J9" s="505">
        <v>0</v>
      </c>
      <c r="K9" s="505">
        <v>0</v>
      </c>
    </row>
    <row r="10" spans="1:11" ht="18.75" customHeight="1" x14ac:dyDescent="0.2">
      <c r="A10" s="281">
        <v>2</v>
      </c>
      <c r="B10" s="419" t="s">
        <v>891</v>
      </c>
      <c r="C10" s="505">
        <f>'AT-3'!F10</f>
        <v>1830</v>
      </c>
      <c r="D10" s="505">
        <v>15</v>
      </c>
      <c r="E10" s="505">
        <f>'enrolment vs availed_PY'!G12+'enrolment vs availed_UPY'!G12</f>
        <v>184725</v>
      </c>
      <c r="F10" s="8">
        <v>1829</v>
      </c>
      <c r="G10" s="505">
        <v>15</v>
      </c>
      <c r="H10" s="505">
        <v>177619</v>
      </c>
      <c r="I10" s="801">
        <v>834.75699999999995</v>
      </c>
      <c r="J10" s="505">
        <v>0</v>
      </c>
      <c r="K10" s="505">
        <v>0</v>
      </c>
    </row>
    <row r="11" spans="1:11" ht="15" x14ac:dyDescent="0.2">
      <c r="A11" s="281">
        <v>3</v>
      </c>
      <c r="B11" s="419" t="s">
        <v>892</v>
      </c>
      <c r="C11" s="505">
        <f>'AT-3'!F11</f>
        <v>1964</v>
      </c>
      <c r="D11" s="505">
        <v>15</v>
      </c>
      <c r="E11" s="505">
        <f>'enrolment vs availed_PY'!G13+'enrolment vs availed_UPY'!G13</f>
        <v>112231</v>
      </c>
      <c r="F11" s="8">
        <v>1964</v>
      </c>
      <c r="G11" s="505">
        <v>15</v>
      </c>
      <c r="H11" s="505">
        <v>111922</v>
      </c>
      <c r="I11" s="801">
        <v>520.35799999999995</v>
      </c>
      <c r="J11" s="505">
        <v>0</v>
      </c>
      <c r="K11" s="505">
        <v>0</v>
      </c>
    </row>
    <row r="12" spans="1:11" ht="15" x14ac:dyDescent="0.2">
      <c r="A12" s="281">
        <v>4</v>
      </c>
      <c r="B12" s="419" t="s">
        <v>893</v>
      </c>
      <c r="C12" s="505">
        <f>'AT-3'!F12</f>
        <v>2194</v>
      </c>
      <c r="D12" s="505">
        <v>15</v>
      </c>
      <c r="E12" s="505">
        <f>'enrolment vs availed_PY'!G14+'enrolment vs availed_UPY'!G14</f>
        <v>105440</v>
      </c>
      <c r="F12" s="8">
        <v>2194</v>
      </c>
      <c r="G12" s="505">
        <v>15</v>
      </c>
      <c r="H12" s="505">
        <v>101780</v>
      </c>
      <c r="I12" s="801">
        <v>470.43700000000001</v>
      </c>
      <c r="J12" s="505">
        <v>0</v>
      </c>
      <c r="K12" s="505">
        <v>0</v>
      </c>
    </row>
    <row r="13" spans="1:11" ht="15" x14ac:dyDescent="0.2">
      <c r="A13" s="281">
        <v>5</v>
      </c>
      <c r="B13" s="419" t="s">
        <v>894</v>
      </c>
      <c r="C13" s="505">
        <f>'AT-3'!F13</f>
        <v>1131</v>
      </c>
      <c r="D13" s="505">
        <v>15</v>
      </c>
      <c r="E13" s="505">
        <f>'enrolment vs availed_PY'!G15+'enrolment vs availed_UPY'!G15</f>
        <v>117859</v>
      </c>
      <c r="F13" s="8">
        <v>1129</v>
      </c>
      <c r="G13" s="505">
        <v>15</v>
      </c>
      <c r="H13" s="505">
        <v>116243</v>
      </c>
      <c r="I13" s="801">
        <v>555.20500000000004</v>
      </c>
      <c r="J13" s="505">
        <v>0</v>
      </c>
      <c r="K13" s="505">
        <v>0</v>
      </c>
    </row>
    <row r="14" spans="1:11" ht="15" x14ac:dyDescent="0.2">
      <c r="A14" s="281">
        <v>6</v>
      </c>
      <c r="B14" s="419" t="s">
        <v>895</v>
      </c>
      <c r="C14" s="505">
        <f>'AT-3'!F14</f>
        <v>897</v>
      </c>
      <c r="D14" s="505">
        <v>15</v>
      </c>
      <c r="E14" s="505">
        <f>'enrolment vs availed_PY'!G16+'enrolment vs availed_UPY'!G16</f>
        <v>40760</v>
      </c>
      <c r="F14" s="8">
        <v>897</v>
      </c>
      <c r="G14" s="505">
        <v>15</v>
      </c>
      <c r="H14" s="505">
        <v>33204</v>
      </c>
      <c r="I14" s="801">
        <v>148.018</v>
      </c>
      <c r="J14" s="505">
        <v>0</v>
      </c>
      <c r="K14" s="505">
        <v>0</v>
      </c>
    </row>
    <row r="15" spans="1:11" ht="15" x14ac:dyDescent="0.2">
      <c r="A15" s="281">
        <v>7</v>
      </c>
      <c r="B15" s="419" t="s">
        <v>896</v>
      </c>
      <c r="C15" s="505">
        <f>'AT-3'!F15</f>
        <v>2496</v>
      </c>
      <c r="D15" s="505">
        <v>15</v>
      </c>
      <c r="E15" s="505">
        <f>'enrolment vs availed_PY'!G17+'enrolment vs availed_UPY'!G17</f>
        <v>237465</v>
      </c>
      <c r="F15" s="8">
        <v>2495</v>
      </c>
      <c r="G15" s="505">
        <v>15</v>
      </c>
      <c r="H15" s="505">
        <v>230561</v>
      </c>
      <c r="I15" s="801">
        <v>1087.4209999999998</v>
      </c>
      <c r="J15" s="505">
        <v>0</v>
      </c>
      <c r="K15" s="505">
        <v>0</v>
      </c>
    </row>
    <row r="16" spans="1:11" ht="15" x14ac:dyDescent="0.2">
      <c r="A16" s="281">
        <v>8</v>
      </c>
      <c r="B16" s="419" t="s">
        <v>897</v>
      </c>
      <c r="C16" s="505">
        <f>'AT-3'!F16</f>
        <v>884</v>
      </c>
      <c r="D16" s="505">
        <v>15</v>
      </c>
      <c r="E16" s="505">
        <f>'enrolment vs availed_PY'!G18+'enrolment vs availed_UPY'!G18</f>
        <v>36719</v>
      </c>
      <c r="F16" s="8">
        <v>883</v>
      </c>
      <c r="G16" s="505">
        <v>15</v>
      </c>
      <c r="H16" s="505">
        <v>30958</v>
      </c>
      <c r="I16" s="801">
        <v>139.977</v>
      </c>
      <c r="J16" s="505">
        <v>0</v>
      </c>
      <c r="K16" s="505">
        <v>0</v>
      </c>
    </row>
    <row r="17" spans="1:11" ht="15" x14ac:dyDescent="0.2">
      <c r="A17" s="281">
        <v>9</v>
      </c>
      <c r="B17" s="419" t="s">
        <v>898</v>
      </c>
      <c r="C17" s="505">
        <f>'AT-3'!F17</f>
        <v>1336</v>
      </c>
      <c r="D17" s="505">
        <v>15</v>
      </c>
      <c r="E17" s="505">
        <f>'enrolment vs availed_PY'!G19+'enrolment vs availed_UPY'!G19</f>
        <v>77459</v>
      </c>
      <c r="F17" s="8">
        <v>1336</v>
      </c>
      <c r="G17" s="505">
        <v>15</v>
      </c>
      <c r="H17" s="505">
        <v>77274</v>
      </c>
      <c r="I17" s="801">
        <v>370.64</v>
      </c>
      <c r="J17" s="505">
        <v>0</v>
      </c>
      <c r="K17" s="505">
        <v>0</v>
      </c>
    </row>
    <row r="18" spans="1:11" ht="15" x14ac:dyDescent="0.2">
      <c r="A18" s="281">
        <v>10</v>
      </c>
      <c r="B18" s="419" t="s">
        <v>899</v>
      </c>
      <c r="C18" s="505">
        <f>'AT-3'!F18</f>
        <v>973</v>
      </c>
      <c r="D18" s="505">
        <v>15</v>
      </c>
      <c r="E18" s="505">
        <f>'enrolment vs availed_PY'!G20+'enrolment vs availed_UPY'!G20</f>
        <v>109396</v>
      </c>
      <c r="F18" s="8">
        <v>972</v>
      </c>
      <c r="G18" s="505">
        <v>15</v>
      </c>
      <c r="H18" s="505">
        <v>107894</v>
      </c>
      <c r="I18" s="801">
        <v>511.74300000000005</v>
      </c>
      <c r="J18" s="505">
        <v>0</v>
      </c>
      <c r="K18" s="505">
        <v>0</v>
      </c>
    </row>
    <row r="19" spans="1:11" ht="15" x14ac:dyDescent="0.2">
      <c r="A19" s="281">
        <v>11</v>
      </c>
      <c r="B19" s="419" t="s">
        <v>900</v>
      </c>
      <c r="C19" s="505">
        <f>'AT-3'!F19</f>
        <v>1432</v>
      </c>
      <c r="D19" s="505">
        <v>15</v>
      </c>
      <c r="E19" s="505">
        <f>'enrolment vs availed_PY'!G21+'enrolment vs availed_UPY'!G21</f>
        <v>79776</v>
      </c>
      <c r="F19" s="8">
        <v>1432</v>
      </c>
      <c r="G19" s="505">
        <v>15</v>
      </c>
      <c r="H19" s="505">
        <v>76894</v>
      </c>
      <c r="I19" s="801">
        <v>359.93200000000002</v>
      </c>
      <c r="J19" s="505">
        <v>0</v>
      </c>
      <c r="K19" s="505">
        <v>0</v>
      </c>
    </row>
    <row r="20" spans="1:11" ht="15" x14ac:dyDescent="0.2">
      <c r="A20" s="281">
        <v>12</v>
      </c>
      <c r="B20" s="419" t="s">
        <v>941</v>
      </c>
      <c r="C20" s="505">
        <f>'AT-3'!F20</f>
        <v>2344</v>
      </c>
      <c r="D20" s="505">
        <v>15</v>
      </c>
      <c r="E20" s="505">
        <f>'enrolment vs availed_PY'!G22+'enrolment vs availed_UPY'!G22</f>
        <v>169361</v>
      </c>
      <c r="F20" s="8">
        <v>2343</v>
      </c>
      <c r="G20" s="505">
        <v>15</v>
      </c>
      <c r="H20" s="505">
        <v>160064</v>
      </c>
      <c r="I20" s="801">
        <v>762.63599999999997</v>
      </c>
      <c r="J20" s="505">
        <v>0</v>
      </c>
      <c r="K20" s="505">
        <v>0</v>
      </c>
    </row>
    <row r="21" spans="1:11" ht="15" x14ac:dyDescent="0.2">
      <c r="A21" s="281">
        <v>13</v>
      </c>
      <c r="B21" s="419" t="s">
        <v>902</v>
      </c>
      <c r="C21" s="505">
        <f>'AT-3'!F21</f>
        <v>2268</v>
      </c>
      <c r="D21" s="505">
        <v>15</v>
      </c>
      <c r="E21" s="505">
        <f>'enrolment vs availed_PY'!G23+'enrolment vs availed_UPY'!G23</f>
        <v>104098</v>
      </c>
      <c r="F21" s="8">
        <v>2267</v>
      </c>
      <c r="G21" s="505">
        <v>15</v>
      </c>
      <c r="H21" s="505">
        <v>101390</v>
      </c>
      <c r="I21" s="801">
        <v>456.87399999999997</v>
      </c>
      <c r="J21" s="505">
        <v>0</v>
      </c>
      <c r="K21" s="505">
        <v>0</v>
      </c>
    </row>
    <row r="22" spans="1:11" ht="15" x14ac:dyDescent="0.2">
      <c r="A22" s="281">
        <v>14</v>
      </c>
      <c r="B22" s="419" t="s">
        <v>903</v>
      </c>
      <c r="C22" s="505">
        <f>'AT-3'!F22</f>
        <v>2212</v>
      </c>
      <c r="D22" s="505">
        <v>15</v>
      </c>
      <c r="E22" s="505">
        <f>'enrolment vs availed_PY'!G24+'enrolment vs availed_UPY'!G24</f>
        <v>85312</v>
      </c>
      <c r="F22" s="8">
        <v>2210</v>
      </c>
      <c r="G22" s="505">
        <v>15</v>
      </c>
      <c r="H22" s="505">
        <v>83803</v>
      </c>
      <c r="I22" s="801">
        <v>395.71500000000003</v>
      </c>
      <c r="J22" s="505">
        <v>0</v>
      </c>
      <c r="K22" s="505">
        <v>0</v>
      </c>
    </row>
    <row r="23" spans="1:11" ht="15" x14ac:dyDescent="0.2">
      <c r="A23" s="281">
        <v>15</v>
      </c>
      <c r="B23" s="419" t="s">
        <v>904</v>
      </c>
      <c r="C23" s="505">
        <f>'AT-3'!F23</f>
        <v>1482</v>
      </c>
      <c r="D23" s="505">
        <v>15</v>
      </c>
      <c r="E23" s="505">
        <f>'enrolment vs availed_PY'!G25+'enrolment vs availed_UPY'!G25</f>
        <v>120639</v>
      </c>
      <c r="F23" s="8">
        <v>1478</v>
      </c>
      <c r="G23" s="505">
        <v>15</v>
      </c>
      <c r="H23" s="505">
        <v>117568</v>
      </c>
      <c r="I23" s="801">
        <v>555.50600000000009</v>
      </c>
      <c r="J23" s="505">
        <v>0</v>
      </c>
      <c r="K23" s="505">
        <v>0</v>
      </c>
    </row>
    <row r="24" spans="1:11" ht="15" x14ac:dyDescent="0.2">
      <c r="A24" s="281">
        <v>16</v>
      </c>
      <c r="B24" s="419" t="s">
        <v>905</v>
      </c>
      <c r="C24" s="505">
        <f>'AT-3'!F24</f>
        <v>1833</v>
      </c>
      <c r="D24" s="505">
        <v>15</v>
      </c>
      <c r="E24" s="505">
        <f>'enrolment vs availed_PY'!G26+'enrolment vs availed_UPY'!G26</f>
        <v>84052</v>
      </c>
      <c r="F24" s="8">
        <v>1830</v>
      </c>
      <c r="G24" s="505">
        <v>15</v>
      </c>
      <c r="H24" s="505">
        <v>83212</v>
      </c>
      <c r="I24" s="801">
        <v>389.83699999999999</v>
      </c>
      <c r="J24" s="505">
        <v>0</v>
      </c>
      <c r="K24" s="505">
        <v>0</v>
      </c>
    </row>
    <row r="25" spans="1:11" ht="15" x14ac:dyDescent="0.2">
      <c r="A25" s="281">
        <v>17</v>
      </c>
      <c r="B25" s="419" t="s">
        <v>906</v>
      </c>
      <c r="C25" s="505">
        <f>'AT-3'!F25</f>
        <v>2019</v>
      </c>
      <c r="D25" s="505">
        <v>15</v>
      </c>
      <c r="E25" s="505">
        <f>'enrolment vs availed_PY'!G27+'enrolment vs availed_UPY'!G27</f>
        <v>121040</v>
      </c>
      <c r="F25" s="8">
        <v>2019</v>
      </c>
      <c r="G25" s="505">
        <v>15</v>
      </c>
      <c r="H25" s="505">
        <v>119256</v>
      </c>
      <c r="I25" s="801">
        <v>552.26099999999997</v>
      </c>
      <c r="J25" s="505">
        <v>0</v>
      </c>
      <c r="K25" s="505">
        <v>0</v>
      </c>
    </row>
    <row r="26" spans="1:11" ht="15" x14ac:dyDescent="0.2">
      <c r="A26" s="281">
        <v>18</v>
      </c>
      <c r="B26" s="419" t="s">
        <v>907</v>
      </c>
      <c r="C26" s="505">
        <f>'AT-3'!F26</f>
        <v>1386</v>
      </c>
      <c r="D26" s="505">
        <v>15</v>
      </c>
      <c r="E26" s="505">
        <f>'enrolment vs availed_PY'!G28+'enrolment vs availed_UPY'!G28</f>
        <v>68350</v>
      </c>
      <c r="F26" s="8">
        <v>1386</v>
      </c>
      <c r="G26" s="505">
        <v>15</v>
      </c>
      <c r="H26" s="505">
        <v>67193</v>
      </c>
      <c r="I26" s="801">
        <v>316.62099999999998</v>
      </c>
      <c r="J26" s="505">
        <v>0</v>
      </c>
      <c r="K26" s="505">
        <v>0</v>
      </c>
    </row>
    <row r="27" spans="1:11" ht="18" customHeight="1" x14ac:dyDescent="0.2">
      <c r="A27" s="281">
        <v>19</v>
      </c>
      <c r="B27" s="419" t="s">
        <v>908</v>
      </c>
      <c r="C27" s="505">
        <f>'AT-3'!F27</f>
        <v>1809</v>
      </c>
      <c r="D27" s="505">
        <v>15</v>
      </c>
      <c r="E27" s="505">
        <f>'enrolment vs availed_PY'!G29+'enrolment vs availed_UPY'!G29</f>
        <v>128817</v>
      </c>
      <c r="F27" s="8">
        <v>1803</v>
      </c>
      <c r="G27" s="505">
        <v>15</v>
      </c>
      <c r="H27" s="505">
        <v>116372</v>
      </c>
      <c r="I27" s="801">
        <v>554.08100000000002</v>
      </c>
      <c r="J27" s="505">
        <v>0</v>
      </c>
      <c r="K27" s="505">
        <v>0</v>
      </c>
    </row>
    <row r="28" spans="1:11" ht="15" x14ac:dyDescent="0.2">
      <c r="A28" s="281">
        <v>20</v>
      </c>
      <c r="B28" s="419" t="s">
        <v>909</v>
      </c>
      <c r="C28" s="505">
        <f>'AT-3'!F28</f>
        <v>941</v>
      </c>
      <c r="D28" s="505">
        <v>15</v>
      </c>
      <c r="E28" s="505">
        <f>'enrolment vs availed_PY'!G30+'enrolment vs availed_UPY'!G30</f>
        <v>103639</v>
      </c>
      <c r="F28" s="8">
        <v>940</v>
      </c>
      <c r="G28" s="505">
        <v>15</v>
      </c>
      <c r="H28" s="505">
        <v>101543</v>
      </c>
      <c r="I28" s="801">
        <v>473.74799999999993</v>
      </c>
      <c r="J28" s="505">
        <v>0</v>
      </c>
      <c r="K28" s="505">
        <v>0</v>
      </c>
    </row>
    <row r="29" spans="1:11" ht="15" x14ac:dyDescent="0.2">
      <c r="A29" s="281">
        <v>21</v>
      </c>
      <c r="B29" s="419" t="s">
        <v>910</v>
      </c>
      <c r="C29" s="505">
        <f>'AT-3'!F29</f>
        <v>568</v>
      </c>
      <c r="D29" s="505">
        <v>15</v>
      </c>
      <c r="E29" s="505">
        <f>'enrolment vs availed_PY'!G31+'enrolment vs availed_UPY'!G31</f>
        <v>22401</v>
      </c>
      <c r="F29" s="8">
        <v>566</v>
      </c>
      <c r="G29" s="505">
        <v>15</v>
      </c>
      <c r="H29" s="505">
        <v>21906</v>
      </c>
      <c r="I29" s="801">
        <v>99.948000000000008</v>
      </c>
      <c r="J29" s="505">
        <v>0</v>
      </c>
      <c r="K29" s="505">
        <v>0</v>
      </c>
    </row>
    <row r="30" spans="1:11" ht="15" x14ac:dyDescent="0.2">
      <c r="A30" s="281">
        <v>22</v>
      </c>
      <c r="B30" s="419" t="s">
        <v>911</v>
      </c>
      <c r="C30" s="505">
        <f>'AT-3'!F30</f>
        <v>2905</v>
      </c>
      <c r="D30" s="505">
        <v>15</v>
      </c>
      <c r="E30" s="505">
        <f>'enrolment vs availed_PY'!G32+'enrolment vs availed_UPY'!G32</f>
        <v>141204</v>
      </c>
      <c r="F30" s="8">
        <v>2905</v>
      </c>
      <c r="G30" s="505">
        <v>15</v>
      </c>
      <c r="H30" s="505">
        <v>138711</v>
      </c>
      <c r="I30" s="801">
        <v>660.22399999999993</v>
      </c>
      <c r="J30" s="505">
        <v>0</v>
      </c>
      <c r="K30" s="505">
        <v>0</v>
      </c>
    </row>
    <row r="31" spans="1:11" ht="15" x14ac:dyDescent="0.2">
      <c r="A31" s="281">
        <v>23</v>
      </c>
      <c r="B31" s="419" t="s">
        <v>912</v>
      </c>
      <c r="C31" s="505">
        <f>'AT-3'!F31</f>
        <v>1279</v>
      </c>
      <c r="D31" s="505">
        <v>15</v>
      </c>
      <c r="E31" s="505">
        <f>'enrolment vs availed_PY'!G33+'enrolment vs availed_UPY'!G33</f>
        <v>169256</v>
      </c>
      <c r="F31" s="8">
        <v>1279</v>
      </c>
      <c r="G31" s="505">
        <v>15</v>
      </c>
      <c r="H31" s="505">
        <v>165536</v>
      </c>
      <c r="I31" s="801">
        <v>791.80100000000004</v>
      </c>
      <c r="J31" s="505">
        <v>0</v>
      </c>
      <c r="K31" s="505">
        <v>0</v>
      </c>
    </row>
    <row r="32" spans="1:11" ht="17.25" customHeight="1" x14ac:dyDescent="0.2">
      <c r="A32" s="281">
        <v>24</v>
      </c>
      <c r="B32" s="419" t="s">
        <v>913</v>
      </c>
      <c r="C32" s="505">
        <f>'AT-3'!F32</f>
        <v>2655</v>
      </c>
      <c r="D32" s="505">
        <v>15</v>
      </c>
      <c r="E32" s="505">
        <f>'enrolment vs availed_PY'!G34+'enrolment vs availed_UPY'!G34</f>
        <v>180808</v>
      </c>
      <c r="F32" s="8">
        <v>2649</v>
      </c>
      <c r="G32" s="505">
        <v>15</v>
      </c>
      <c r="H32" s="505">
        <v>178946</v>
      </c>
      <c r="I32" s="801">
        <v>844.15</v>
      </c>
      <c r="J32" s="505">
        <v>0</v>
      </c>
      <c r="K32" s="505">
        <v>0</v>
      </c>
    </row>
    <row r="33" spans="1:11" ht="15" x14ac:dyDescent="0.2">
      <c r="A33" s="281">
        <v>25</v>
      </c>
      <c r="B33" s="419" t="s">
        <v>919</v>
      </c>
      <c r="C33" s="505">
        <f>'AT-3'!F33</f>
        <v>1929</v>
      </c>
      <c r="D33" s="505">
        <v>15</v>
      </c>
      <c r="E33" s="505">
        <f>'enrolment vs availed_PY'!G35+'enrolment vs availed_UPY'!G35</f>
        <v>91832</v>
      </c>
      <c r="F33" s="8">
        <v>1929</v>
      </c>
      <c r="G33" s="505">
        <v>15</v>
      </c>
      <c r="H33" s="505">
        <v>91130</v>
      </c>
      <c r="I33" s="801">
        <v>430.49399999999997</v>
      </c>
      <c r="J33" s="505">
        <v>0</v>
      </c>
      <c r="K33" s="505">
        <v>0</v>
      </c>
    </row>
    <row r="34" spans="1:11" ht="15" x14ac:dyDescent="0.2">
      <c r="A34" s="281">
        <v>26</v>
      </c>
      <c r="B34" s="419" t="s">
        <v>914</v>
      </c>
      <c r="C34" s="505">
        <f>'AT-3'!F34</f>
        <v>1004</v>
      </c>
      <c r="D34" s="505">
        <v>15</v>
      </c>
      <c r="E34" s="505">
        <f>'enrolment vs availed_PY'!G36+'enrolment vs availed_UPY'!G36</f>
        <v>38181</v>
      </c>
      <c r="F34" s="8">
        <v>1003</v>
      </c>
      <c r="G34" s="505">
        <v>15</v>
      </c>
      <c r="H34" s="505">
        <v>36576</v>
      </c>
      <c r="I34" s="801">
        <v>142.91199999999998</v>
      </c>
      <c r="J34" s="505">
        <v>0</v>
      </c>
      <c r="K34" s="505">
        <v>0</v>
      </c>
    </row>
    <row r="35" spans="1:11" ht="15" x14ac:dyDescent="0.2">
      <c r="A35" s="281">
        <v>27</v>
      </c>
      <c r="B35" s="419" t="s">
        <v>915</v>
      </c>
      <c r="C35" s="505">
        <f>'AT-3'!F35</f>
        <v>1976</v>
      </c>
      <c r="D35" s="505">
        <v>15</v>
      </c>
      <c r="E35" s="505">
        <f>'enrolment vs availed_PY'!G37+'enrolment vs availed_UPY'!G37</f>
        <v>97638</v>
      </c>
      <c r="F35" s="8">
        <v>1973</v>
      </c>
      <c r="G35" s="505">
        <v>15</v>
      </c>
      <c r="H35" s="505">
        <v>95955</v>
      </c>
      <c r="I35" s="801">
        <v>451.238</v>
      </c>
      <c r="J35" s="505">
        <v>0</v>
      </c>
      <c r="K35" s="505">
        <v>0</v>
      </c>
    </row>
    <row r="36" spans="1:11" ht="15" x14ac:dyDescent="0.2">
      <c r="A36" s="30" t="s">
        <v>18</v>
      </c>
      <c r="B36" s="9"/>
      <c r="C36" s="505">
        <f>SUM(C9:C35)</f>
        <v>44986</v>
      </c>
      <c r="D36" s="505">
        <v>0</v>
      </c>
      <c r="E36" s="505">
        <v>0</v>
      </c>
      <c r="F36" s="505">
        <v>0</v>
      </c>
      <c r="G36" s="505">
        <v>0</v>
      </c>
      <c r="H36" s="505">
        <v>0</v>
      </c>
      <c r="I36" s="505">
        <v>0</v>
      </c>
      <c r="J36" s="505">
        <v>0</v>
      </c>
      <c r="K36" s="505">
        <v>0</v>
      </c>
    </row>
    <row r="39" spans="1:11" ht="12.75" customHeight="1" x14ac:dyDescent="0.2">
      <c r="A39" s="203"/>
      <c r="B39" s="203"/>
      <c r="C39" s="203"/>
      <c r="D39" s="203"/>
      <c r="E39" s="203"/>
      <c r="F39" s="203"/>
    </row>
    <row r="40" spans="1:11" s="488" customFormat="1" ht="12.75" customHeight="1" x14ac:dyDescent="0.2">
      <c r="A40" s="203"/>
      <c r="B40" s="203"/>
      <c r="C40" s="203"/>
      <c r="D40" s="203"/>
      <c r="E40" s="203"/>
      <c r="F40" s="203"/>
      <c r="G40" s="215"/>
      <c r="H40" s="215"/>
      <c r="I40" s="215"/>
      <c r="J40" s="215"/>
      <c r="K40" s="215"/>
    </row>
    <row r="41" spans="1:11" s="488" customFormat="1" ht="12.75" customHeight="1" x14ac:dyDescent="0.2">
      <c r="A41" s="203"/>
      <c r="B41" s="203"/>
      <c r="C41" s="203"/>
      <c r="D41" s="203"/>
      <c r="E41" s="203"/>
      <c r="F41" s="203"/>
      <c r="G41" s="810" t="s">
        <v>13</v>
      </c>
      <c r="H41" s="810"/>
      <c r="I41" s="810"/>
      <c r="J41" s="810"/>
      <c r="K41" s="810"/>
    </row>
    <row r="42" spans="1:11" s="488" customFormat="1" ht="12.75" customHeight="1" x14ac:dyDescent="0.2">
      <c r="F42" s="203"/>
      <c r="G42" s="810" t="s">
        <v>14</v>
      </c>
      <c r="H42" s="810"/>
      <c r="I42" s="810"/>
      <c r="J42" s="810"/>
      <c r="K42" s="810"/>
    </row>
    <row r="43" spans="1:11" s="488" customFormat="1" x14ac:dyDescent="0.2">
      <c r="G43" s="810" t="s">
        <v>918</v>
      </c>
      <c r="H43" s="810"/>
      <c r="I43" s="810"/>
      <c r="J43" s="810"/>
      <c r="K43" s="810"/>
    </row>
    <row r="44" spans="1:11" s="488" customFormat="1" ht="15" x14ac:dyDescent="0.25">
      <c r="A44" s="492" t="s">
        <v>12</v>
      </c>
      <c r="G44" s="657"/>
      <c r="H44" s="207" t="s">
        <v>82</v>
      </c>
      <c r="I44" s="207"/>
      <c r="J44" s="207"/>
      <c r="K44" s="207"/>
    </row>
  </sheetData>
  <mergeCells count="14">
    <mergeCell ref="G41:K41"/>
    <mergeCell ref="G42:K42"/>
    <mergeCell ref="G43:K43"/>
    <mergeCell ref="A1:H1"/>
    <mergeCell ref="A2:H2"/>
    <mergeCell ref="A4:H4"/>
    <mergeCell ref="K6:K7"/>
    <mergeCell ref="I6:I7"/>
    <mergeCell ref="J6:J7"/>
    <mergeCell ref="A6:A7"/>
    <mergeCell ref="B6:B7"/>
    <mergeCell ref="C6:E6"/>
    <mergeCell ref="F6:H6"/>
    <mergeCell ref="G5:K5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1:L49"/>
  <sheetViews>
    <sheetView zoomScale="90" zoomScaleNormal="90" zoomScaleSheetLayoutView="100" workbookViewId="0">
      <selection activeCell="J8" sqref="J8:L8"/>
    </sheetView>
  </sheetViews>
  <sheetFormatPr defaultRowHeight="12.75" x14ac:dyDescent="0.2"/>
  <cols>
    <col min="1" max="1" width="7.42578125" style="472" customWidth="1"/>
    <col min="2" max="2" width="19.42578125" style="472" customWidth="1"/>
    <col min="3" max="4" width="12.7109375" style="472" customWidth="1"/>
    <col min="5" max="5" width="14.42578125" style="472" customWidth="1"/>
    <col min="6" max="6" width="17" style="472" customWidth="1"/>
    <col min="7" max="7" width="14.140625" style="472" customWidth="1"/>
    <col min="8" max="8" width="17" style="472" customWidth="1"/>
    <col min="9" max="9" width="13" style="472" customWidth="1"/>
    <col min="10" max="10" width="17" style="472" customWidth="1"/>
    <col min="11" max="11" width="15.5703125" style="472" customWidth="1"/>
    <col min="12" max="12" width="17.7109375" style="472" customWidth="1"/>
    <col min="13" max="256" width="9.140625" style="472"/>
    <col min="257" max="257" width="7.42578125" style="472" customWidth="1"/>
    <col min="258" max="258" width="19.42578125" style="472" customWidth="1"/>
    <col min="259" max="260" width="12.7109375" style="472" customWidth="1"/>
    <col min="261" max="261" width="14.42578125" style="472" customWidth="1"/>
    <col min="262" max="262" width="17" style="472" customWidth="1"/>
    <col min="263" max="263" width="14.140625" style="472" customWidth="1"/>
    <col min="264" max="264" width="17" style="472" customWidth="1"/>
    <col min="265" max="265" width="13" style="472" customWidth="1"/>
    <col min="266" max="266" width="17" style="472" customWidth="1"/>
    <col min="267" max="267" width="15.5703125" style="472" customWidth="1"/>
    <col min="268" max="268" width="17.7109375" style="472" customWidth="1"/>
    <col min="269" max="512" width="9.140625" style="472"/>
    <col min="513" max="513" width="7.42578125" style="472" customWidth="1"/>
    <col min="514" max="514" width="19.42578125" style="472" customWidth="1"/>
    <col min="515" max="516" width="12.7109375" style="472" customWidth="1"/>
    <col min="517" max="517" width="14.42578125" style="472" customWidth="1"/>
    <col min="518" max="518" width="17" style="472" customWidth="1"/>
    <col min="519" max="519" width="14.140625" style="472" customWidth="1"/>
    <col min="520" max="520" width="17" style="472" customWidth="1"/>
    <col min="521" max="521" width="13" style="472" customWidth="1"/>
    <col min="522" max="522" width="17" style="472" customWidth="1"/>
    <col min="523" max="523" width="15.5703125" style="472" customWidth="1"/>
    <col min="524" max="524" width="17.7109375" style="472" customWidth="1"/>
    <col min="525" max="768" width="9.140625" style="472"/>
    <col min="769" max="769" width="7.42578125" style="472" customWidth="1"/>
    <col min="770" max="770" width="19.42578125" style="472" customWidth="1"/>
    <col min="771" max="772" width="12.7109375" style="472" customWidth="1"/>
    <col min="773" max="773" width="14.42578125" style="472" customWidth="1"/>
    <col min="774" max="774" width="17" style="472" customWidth="1"/>
    <col min="775" max="775" width="14.140625" style="472" customWidth="1"/>
    <col min="776" max="776" width="17" style="472" customWidth="1"/>
    <col min="777" max="777" width="13" style="472" customWidth="1"/>
    <col min="778" max="778" width="17" style="472" customWidth="1"/>
    <col min="779" max="779" width="15.5703125" style="472" customWidth="1"/>
    <col min="780" max="780" width="17.7109375" style="472" customWidth="1"/>
    <col min="781" max="1024" width="9.140625" style="472"/>
    <col min="1025" max="1025" width="7.42578125" style="472" customWidth="1"/>
    <col min="1026" max="1026" width="19.42578125" style="472" customWidth="1"/>
    <col min="1027" max="1028" width="12.7109375" style="472" customWidth="1"/>
    <col min="1029" max="1029" width="14.42578125" style="472" customWidth="1"/>
    <col min="1030" max="1030" width="17" style="472" customWidth="1"/>
    <col min="1031" max="1031" width="14.140625" style="472" customWidth="1"/>
    <col min="1032" max="1032" width="17" style="472" customWidth="1"/>
    <col min="1033" max="1033" width="13" style="472" customWidth="1"/>
    <col min="1034" max="1034" width="17" style="472" customWidth="1"/>
    <col min="1035" max="1035" width="15.5703125" style="472" customWidth="1"/>
    <col min="1036" max="1036" width="17.7109375" style="472" customWidth="1"/>
    <col min="1037" max="1280" width="9.140625" style="472"/>
    <col min="1281" max="1281" width="7.42578125" style="472" customWidth="1"/>
    <col min="1282" max="1282" width="19.42578125" style="472" customWidth="1"/>
    <col min="1283" max="1284" width="12.7109375" style="472" customWidth="1"/>
    <col min="1285" max="1285" width="14.42578125" style="472" customWidth="1"/>
    <col min="1286" max="1286" width="17" style="472" customWidth="1"/>
    <col min="1287" max="1287" width="14.140625" style="472" customWidth="1"/>
    <col min="1288" max="1288" width="17" style="472" customWidth="1"/>
    <col min="1289" max="1289" width="13" style="472" customWidth="1"/>
    <col min="1290" max="1290" width="17" style="472" customWidth="1"/>
    <col min="1291" max="1291" width="15.5703125" style="472" customWidth="1"/>
    <col min="1292" max="1292" width="17.7109375" style="472" customWidth="1"/>
    <col min="1293" max="1536" width="9.140625" style="472"/>
    <col min="1537" max="1537" width="7.42578125" style="472" customWidth="1"/>
    <col min="1538" max="1538" width="19.42578125" style="472" customWidth="1"/>
    <col min="1539" max="1540" width="12.7109375" style="472" customWidth="1"/>
    <col min="1541" max="1541" width="14.42578125" style="472" customWidth="1"/>
    <col min="1542" max="1542" width="17" style="472" customWidth="1"/>
    <col min="1543" max="1543" width="14.140625" style="472" customWidth="1"/>
    <col min="1544" max="1544" width="17" style="472" customWidth="1"/>
    <col min="1545" max="1545" width="13" style="472" customWidth="1"/>
    <col min="1546" max="1546" width="17" style="472" customWidth="1"/>
    <col min="1547" max="1547" width="15.5703125" style="472" customWidth="1"/>
    <col min="1548" max="1548" width="17.7109375" style="472" customWidth="1"/>
    <col min="1549" max="1792" width="9.140625" style="472"/>
    <col min="1793" max="1793" width="7.42578125" style="472" customWidth="1"/>
    <col min="1794" max="1794" width="19.42578125" style="472" customWidth="1"/>
    <col min="1795" max="1796" width="12.7109375" style="472" customWidth="1"/>
    <col min="1797" max="1797" width="14.42578125" style="472" customWidth="1"/>
    <col min="1798" max="1798" width="17" style="472" customWidth="1"/>
    <col min="1799" max="1799" width="14.140625" style="472" customWidth="1"/>
    <col min="1800" max="1800" width="17" style="472" customWidth="1"/>
    <col min="1801" max="1801" width="13" style="472" customWidth="1"/>
    <col min="1802" max="1802" width="17" style="472" customWidth="1"/>
    <col min="1803" max="1803" width="15.5703125" style="472" customWidth="1"/>
    <col min="1804" max="1804" width="17.7109375" style="472" customWidth="1"/>
    <col min="1805" max="2048" width="9.140625" style="472"/>
    <col min="2049" max="2049" width="7.42578125" style="472" customWidth="1"/>
    <col min="2050" max="2050" width="19.42578125" style="472" customWidth="1"/>
    <col min="2051" max="2052" width="12.7109375" style="472" customWidth="1"/>
    <col min="2053" max="2053" width="14.42578125" style="472" customWidth="1"/>
    <col min="2054" max="2054" width="17" style="472" customWidth="1"/>
    <col min="2055" max="2055" width="14.140625" style="472" customWidth="1"/>
    <col min="2056" max="2056" width="17" style="472" customWidth="1"/>
    <col min="2057" max="2057" width="13" style="472" customWidth="1"/>
    <col min="2058" max="2058" width="17" style="472" customWidth="1"/>
    <col min="2059" max="2059" width="15.5703125" style="472" customWidth="1"/>
    <col min="2060" max="2060" width="17.7109375" style="472" customWidth="1"/>
    <col min="2061" max="2304" width="9.140625" style="472"/>
    <col min="2305" max="2305" width="7.42578125" style="472" customWidth="1"/>
    <col min="2306" max="2306" width="19.42578125" style="472" customWidth="1"/>
    <col min="2307" max="2308" width="12.7109375" style="472" customWidth="1"/>
    <col min="2309" max="2309" width="14.42578125" style="472" customWidth="1"/>
    <col min="2310" max="2310" width="17" style="472" customWidth="1"/>
    <col min="2311" max="2311" width="14.140625" style="472" customWidth="1"/>
    <col min="2312" max="2312" width="17" style="472" customWidth="1"/>
    <col min="2313" max="2313" width="13" style="472" customWidth="1"/>
    <col min="2314" max="2314" width="17" style="472" customWidth="1"/>
    <col min="2315" max="2315" width="15.5703125" style="472" customWidth="1"/>
    <col min="2316" max="2316" width="17.7109375" style="472" customWidth="1"/>
    <col min="2317" max="2560" width="9.140625" style="472"/>
    <col min="2561" max="2561" width="7.42578125" style="472" customWidth="1"/>
    <col min="2562" max="2562" width="19.42578125" style="472" customWidth="1"/>
    <col min="2563" max="2564" width="12.7109375" style="472" customWidth="1"/>
    <col min="2565" max="2565" width="14.42578125" style="472" customWidth="1"/>
    <col min="2566" max="2566" width="17" style="472" customWidth="1"/>
    <col min="2567" max="2567" width="14.140625" style="472" customWidth="1"/>
    <col min="2568" max="2568" width="17" style="472" customWidth="1"/>
    <col min="2569" max="2569" width="13" style="472" customWidth="1"/>
    <col min="2570" max="2570" width="17" style="472" customWidth="1"/>
    <col min="2571" max="2571" width="15.5703125" style="472" customWidth="1"/>
    <col min="2572" max="2572" width="17.7109375" style="472" customWidth="1"/>
    <col min="2573" max="2816" width="9.140625" style="472"/>
    <col min="2817" max="2817" width="7.42578125" style="472" customWidth="1"/>
    <col min="2818" max="2818" width="19.42578125" style="472" customWidth="1"/>
    <col min="2819" max="2820" width="12.7109375" style="472" customWidth="1"/>
    <col min="2821" max="2821" width="14.42578125" style="472" customWidth="1"/>
    <col min="2822" max="2822" width="17" style="472" customWidth="1"/>
    <col min="2823" max="2823" width="14.140625" style="472" customWidth="1"/>
    <col min="2824" max="2824" width="17" style="472" customWidth="1"/>
    <col min="2825" max="2825" width="13" style="472" customWidth="1"/>
    <col min="2826" max="2826" width="17" style="472" customWidth="1"/>
    <col min="2827" max="2827" width="15.5703125" style="472" customWidth="1"/>
    <col min="2828" max="2828" width="17.7109375" style="472" customWidth="1"/>
    <col min="2829" max="3072" width="9.140625" style="472"/>
    <col min="3073" max="3073" width="7.42578125" style="472" customWidth="1"/>
    <col min="3074" max="3074" width="19.42578125" style="472" customWidth="1"/>
    <col min="3075" max="3076" width="12.7109375" style="472" customWidth="1"/>
    <col min="3077" max="3077" width="14.42578125" style="472" customWidth="1"/>
    <col min="3078" max="3078" width="17" style="472" customWidth="1"/>
    <col min="3079" max="3079" width="14.140625" style="472" customWidth="1"/>
    <col min="3080" max="3080" width="17" style="472" customWidth="1"/>
    <col min="3081" max="3081" width="13" style="472" customWidth="1"/>
    <col min="3082" max="3082" width="17" style="472" customWidth="1"/>
    <col min="3083" max="3083" width="15.5703125" style="472" customWidth="1"/>
    <col min="3084" max="3084" width="17.7109375" style="472" customWidth="1"/>
    <col min="3085" max="3328" width="9.140625" style="472"/>
    <col min="3329" max="3329" width="7.42578125" style="472" customWidth="1"/>
    <col min="3330" max="3330" width="19.42578125" style="472" customWidth="1"/>
    <col min="3331" max="3332" width="12.7109375" style="472" customWidth="1"/>
    <col min="3333" max="3333" width="14.42578125" style="472" customWidth="1"/>
    <col min="3334" max="3334" width="17" style="472" customWidth="1"/>
    <col min="3335" max="3335" width="14.140625" style="472" customWidth="1"/>
    <col min="3336" max="3336" width="17" style="472" customWidth="1"/>
    <col min="3337" max="3337" width="13" style="472" customWidth="1"/>
    <col min="3338" max="3338" width="17" style="472" customWidth="1"/>
    <col min="3339" max="3339" width="15.5703125" style="472" customWidth="1"/>
    <col min="3340" max="3340" width="17.7109375" style="472" customWidth="1"/>
    <col min="3341" max="3584" width="9.140625" style="472"/>
    <col min="3585" max="3585" width="7.42578125" style="472" customWidth="1"/>
    <col min="3586" max="3586" width="19.42578125" style="472" customWidth="1"/>
    <col min="3587" max="3588" width="12.7109375" style="472" customWidth="1"/>
    <col min="3589" max="3589" width="14.42578125" style="472" customWidth="1"/>
    <col min="3590" max="3590" width="17" style="472" customWidth="1"/>
    <col min="3591" max="3591" width="14.140625" style="472" customWidth="1"/>
    <col min="3592" max="3592" width="17" style="472" customWidth="1"/>
    <col min="3593" max="3593" width="13" style="472" customWidth="1"/>
    <col min="3594" max="3594" width="17" style="472" customWidth="1"/>
    <col min="3595" max="3595" width="15.5703125" style="472" customWidth="1"/>
    <col min="3596" max="3596" width="17.7109375" style="472" customWidth="1"/>
    <col min="3597" max="3840" width="9.140625" style="472"/>
    <col min="3841" max="3841" width="7.42578125" style="472" customWidth="1"/>
    <col min="3842" max="3842" width="19.42578125" style="472" customWidth="1"/>
    <col min="3843" max="3844" width="12.7109375" style="472" customWidth="1"/>
    <col min="3845" max="3845" width="14.42578125" style="472" customWidth="1"/>
    <col min="3846" max="3846" width="17" style="472" customWidth="1"/>
    <col min="3847" max="3847" width="14.140625" style="472" customWidth="1"/>
    <col min="3848" max="3848" width="17" style="472" customWidth="1"/>
    <col min="3849" max="3849" width="13" style="472" customWidth="1"/>
    <col min="3850" max="3850" width="17" style="472" customWidth="1"/>
    <col min="3851" max="3851" width="15.5703125" style="472" customWidth="1"/>
    <col min="3852" max="3852" width="17.7109375" style="472" customWidth="1"/>
    <col min="3853" max="4096" width="9.140625" style="472"/>
    <col min="4097" max="4097" width="7.42578125" style="472" customWidth="1"/>
    <col min="4098" max="4098" width="19.42578125" style="472" customWidth="1"/>
    <col min="4099" max="4100" width="12.7109375" style="472" customWidth="1"/>
    <col min="4101" max="4101" width="14.42578125" style="472" customWidth="1"/>
    <col min="4102" max="4102" width="17" style="472" customWidth="1"/>
    <col min="4103" max="4103" width="14.140625" style="472" customWidth="1"/>
    <col min="4104" max="4104" width="17" style="472" customWidth="1"/>
    <col min="4105" max="4105" width="13" style="472" customWidth="1"/>
    <col min="4106" max="4106" width="17" style="472" customWidth="1"/>
    <col min="4107" max="4107" width="15.5703125" style="472" customWidth="1"/>
    <col min="4108" max="4108" width="17.7109375" style="472" customWidth="1"/>
    <col min="4109" max="4352" width="9.140625" style="472"/>
    <col min="4353" max="4353" width="7.42578125" style="472" customWidth="1"/>
    <col min="4354" max="4354" width="19.42578125" style="472" customWidth="1"/>
    <col min="4355" max="4356" width="12.7109375" style="472" customWidth="1"/>
    <col min="4357" max="4357" width="14.42578125" style="472" customWidth="1"/>
    <col min="4358" max="4358" width="17" style="472" customWidth="1"/>
    <col min="4359" max="4359" width="14.140625" style="472" customWidth="1"/>
    <col min="4360" max="4360" width="17" style="472" customWidth="1"/>
    <col min="4361" max="4361" width="13" style="472" customWidth="1"/>
    <col min="4362" max="4362" width="17" style="472" customWidth="1"/>
    <col min="4363" max="4363" width="15.5703125" style="472" customWidth="1"/>
    <col min="4364" max="4364" width="17.7109375" style="472" customWidth="1"/>
    <col min="4365" max="4608" width="9.140625" style="472"/>
    <col min="4609" max="4609" width="7.42578125" style="472" customWidth="1"/>
    <col min="4610" max="4610" width="19.42578125" style="472" customWidth="1"/>
    <col min="4611" max="4612" width="12.7109375" style="472" customWidth="1"/>
    <col min="4613" max="4613" width="14.42578125" style="472" customWidth="1"/>
    <col min="4614" max="4614" width="17" style="472" customWidth="1"/>
    <col min="4615" max="4615" width="14.140625" style="472" customWidth="1"/>
    <col min="4616" max="4616" width="17" style="472" customWidth="1"/>
    <col min="4617" max="4617" width="13" style="472" customWidth="1"/>
    <col min="4618" max="4618" width="17" style="472" customWidth="1"/>
    <col min="4619" max="4619" width="15.5703125" style="472" customWidth="1"/>
    <col min="4620" max="4620" width="17.7109375" style="472" customWidth="1"/>
    <col min="4621" max="4864" width="9.140625" style="472"/>
    <col min="4865" max="4865" width="7.42578125" style="472" customWidth="1"/>
    <col min="4866" max="4866" width="19.42578125" style="472" customWidth="1"/>
    <col min="4867" max="4868" width="12.7109375" style="472" customWidth="1"/>
    <col min="4869" max="4869" width="14.42578125" style="472" customWidth="1"/>
    <col min="4870" max="4870" width="17" style="472" customWidth="1"/>
    <col min="4871" max="4871" width="14.140625" style="472" customWidth="1"/>
    <col min="4872" max="4872" width="17" style="472" customWidth="1"/>
    <col min="4873" max="4873" width="13" style="472" customWidth="1"/>
    <col min="4874" max="4874" width="17" style="472" customWidth="1"/>
    <col min="4875" max="4875" width="15.5703125" style="472" customWidth="1"/>
    <col min="4876" max="4876" width="17.7109375" style="472" customWidth="1"/>
    <col min="4877" max="5120" width="9.140625" style="472"/>
    <col min="5121" max="5121" width="7.42578125" style="472" customWidth="1"/>
    <col min="5122" max="5122" width="19.42578125" style="472" customWidth="1"/>
    <col min="5123" max="5124" width="12.7109375" style="472" customWidth="1"/>
    <col min="5125" max="5125" width="14.42578125" style="472" customWidth="1"/>
    <col min="5126" max="5126" width="17" style="472" customWidth="1"/>
    <col min="5127" max="5127" width="14.140625" style="472" customWidth="1"/>
    <col min="5128" max="5128" width="17" style="472" customWidth="1"/>
    <col min="5129" max="5129" width="13" style="472" customWidth="1"/>
    <col min="5130" max="5130" width="17" style="472" customWidth="1"/>
    <col min="5131" max="5131" width="15.5703125" style="472" customWidth="1"/>
    <col min="5132" max="5132" width="17.7109375" style="472" customWidth="1"/>
    <col min="5133" max="5376" width="9.140625" style="472"/>
    <col min="5377" max="5377" width="7.42578125" style="472" customWidth="1"/>
    <col min="5378" max="5378" width="19.42578125" style="472" customWidth="1"/>
    <col min="5379" max="5380" width="12.7109375" style="472" customWidth="1"/>
    <col min="5381" max="5381" width="14.42578125" style="472" customWidth="1"/>
    <col min="5382" max="5382" width="17" style="472" customWidth="1"/>
    <col min="5383" max="5383" width="14.140625" style="472" customWidth="1"/>
    <col min="5384" max="5384" width="17" style="472" customWidth="1"/>
    <col min="5385" max="5385" width="13" style="472" customWidth="1"/>
    <col min="5386" max="5386" width="17" style="472" customWidth="1"/>
    <col min="5387" max="5387" width="15.5703125" style="472" customWidth="1"/>
    <col min="5388" max="5388" width="17.7109375" style="472" customWidth="1"/>
    <col min="5389" max="5632" width="9.140625" style="472"/>
    <col min="5633" max="5633" width="7.42578125" style="472" customWidth="1"/>
    <col min="5634" max="5634" width="19.42578125" style="472" customWidth="1"/>
    <col min="5635" max="5636" width="12.7109375" style="472" customWidth="1"/>
    <col min="5637" max="5637" width="14.42578125" style="472" customWidth="1"/>
    <col min="5638" max="5638" width="17" style="472" customWidth="1"/>
    <col min="5639" max="5639" width="14.140625" style="472" customWidth="1"/>
    <col min="5640" max="5640" width="17" style="472" customWidth="1"/>
    <col min="5641" max="5641" width="13" style="472" customWidth="1"/>
    <col min="5642" max="5642" width="17" style="472" customWidth="1"/>
    <col min="5643" max="5643" width="15.5703125" style="472" customWidth="1"/>
    <col min="5644" max="5644" width="17.7109375" style="472" customWidth="1"/>
    <col min="5645" max="5888" width="9.140625" style="472"/>
    <col min="5889" max="5889" width="7.42578125" style="472" customWidth="1"/>
    <col min="5890" max="5890" width="19.42578125" style="472" customWidth="1"/>
    <col min="5891" max="5892" width="12.7109375" style="472" customWidth="1"/>
    <col min="5893" max="5893" width="14.42578125" style="472" customWidth="1"/>
    <col min="5894" max="5894" width="17" style="472" customWidth="1"/>
    <col min="5895" max="5895" width="14.140625" style="472" customWidth="1"/>
    <col min="5896" max="5896" width="17" style="472" customWidth="1"/>
    <col min="5897" max="5897" width="13" style="472" customWidth="1"/>
    <col min="5898" max="5898" width="17" style="472" customWidth="1"/>
    <col min="5899" max="5899" width="15.5703125" style="472" customWidth="1"/>
    <col min="5900" max="5900" width="17.7109375" style="472" customWidth="1"/>
    <col min="5901" max="6144" width="9.140625" style="472"/>
    <col min="6145" max="6145" width="7.42578125" style="472" customWidth="1"/>
    <col min="6146" max="6146" width="19.42578125" style="472" customWidth="1"/>
    <col min="6147" max="6148" width="12.7109375" style="472" customWidth="1"/>
    <col min="6149" max="6149" width="14.42578125" style="472" customWidth="1"/>
    <col min="6150" max="6150" width="17" style="472" customWidth="1"/>
    <col min="6151" max="6151" width="14.140625" style="472" customWidth="1"/>
    <col min="6152" max="6152" width="17" style="472" customWidth="1"/>
    <col min="6153" max="6153" width="13" style="472" customWidth="1"/>
    <col min="6154" max="6154" width="17" style="472" customWidth="1"/>
    <col min="6155" max="6155" width="15.5703125" style="472" customWidth="1"/>
    <col min="6156" max="6156" width="17.7109375" style="472" customWidth="1"/>
    <col min="6157" max="6400" width="9.140625" style="472"/>
    <col min="6401" max="6401" width="7.42578125" style="472" customWidth="1"/>
    <col min="6402" max="6402" width="19.42578125" style="472" customWidth="1"/>
    <col min="6403" max="6404" width="12.7109375" style="472" customWidth="1"/>
    <col min="6405" max="6405" width="14.42578125" style="472" customWidth="1"/>
    <col min="6406" max="6406" width="17" style="472" customWidth="1"/>
    <col min="6407" max="6407" width="14.140625" style="472" customWidth="1"/>
    <col min="6408" max="6408" width="17" style="472" customWidth="1"/>
    <col min="6409" max="6409" width="13" style="472" customWidth="1"/>
    <col min="6410" max="6410" width="17" style="472" customWidth="1"/>
    <col min="6411" max="6411" width="15.5703125" style="472" customWidth="1"/>
    <col min="6412" max="6412" width="17.7109375" style="472" customWidth="1"/>
    <col min="6413" max="6656" width="9.140625" style="472"/>
    <col min="6657" max="6657" width="7.42578125" style="472" customWidth="1"/>
    <col min="6658" max="6658" width="19.42578125" style="472" customWidth="1"/>
    <col min="6659" max="6660" width="12.7109375" style="472" customWidth="1"/>
    <col min="6661" max="6661" width="14.42578125" style="472" customWidth="1"/>
    <col min="6662" max="6662" width="17" style="472" customWidth="1"/>
    <col min="6663" max="6663" width="14.140625" style="472" customWidth="1"/>
    <col min="6664" max="6664" width="17" style="472" customWidth="1"/>
    <col min="6665" max="6665" width="13" style="472" customWidth="1"/>
    <col min="6666" max="6666" width="17" style="472" customWidth="1"/>
    <col min="6667" max="6667" width="15.5703125" style="472" customWidth="1"/>
    <col min="6668" max="6668" width="17.7109375" style="472" customWidth="1"/>
    <col min="6669" max="6912" width="9.140625" style="472"/>
    <col min="6913" max="6913" width="7.42578125" style="472" customWidth="1"/>
    <col min="6914" max="6914" width="19.42578125" style="472" customWidth="1"/>
    <col min="6915" max="6916" width="12.7109375" style="472" customWidth="1"/>
    <col min="6917" max="6917" width="14.42578125" style="472" customWidth="1"/>
    <col min="6918" max="6918" width="17" style="472" customWidth="1"/>
    <col min="6919" max="6919" width="14.140625" style="472" customWidth="1"/>
    <col min="6920" max="6920" width="17" style="472" customWidth="1"/>
    <col min="6921" max="6921" width="13" style="472" customWidth="1"/>
    <col min="6922" max="6922" width="17" style="472" customWidth="1"/>
    <col min="6923" max="6923" width="15.5703125" style="472" customWidth="1"/>
    <col min="6924" max="6924" width="17.7109375" style="472" customWidth="1"/>
    <col min="6925" max="7168" width="9.140625" style="472"/>
    <col min="7169" max="7169" width="7.42578125" style="472" customWidth="1"/>
    <col min="7170" max="7170" width="19.42578125" style="472" customWidth="1"/>
    <col min="7171" max="7172" width="12.7109375" style="472" customWidth="1"/>
    <col min="7173" max="7173" width="14.42578125" style="472" customWidth="1"/>
    <col min="7174" max="7174" width="17" style="472" customWidth="1"/>
    <col min="7175" max="7175" width="14.140625" style="472" customWidth="1"/>
    <col min="7176" max="7176" width="17" style="472" customWidth="1"/>
    <col min="7177" max="7177" width="13" style="472" customWidth="1"/>
    <col min="7178" max="7178" width="17" style="472" customWidth="1"/>
    <col min="7179" max="7179" width="15.5703125" style="472" customWidth="1"/>
    <col min="7180" max="7180" width="17.7109375" style="472" customWidth="1"/>
    <col min="7181" max="7424" width="9.140625" style="472"/>
    <col min="7425" max="7425" width="7.42578125" style="472" customWidth="1"/>
    <col min="7426" max="7426" width="19.42578125" style="472" customWidth="1"/>
    <col min="7427" max="7428" width="12.7109375" style="472" customWidth="1"/>
    <col min="7429" max="7429" width="14.42578125" style="472" customWidth="1"/>
    <col min="7430" max="7430" width="17" style="472" customWidth="1"/>
    <col min="7431" max="7431" width="14.140625" style="472" customWidth="1"/>
    <col min="7432" max="7432" width="17" style="472" customWidth="1"/>
    <col min="7433" max="7433" width="13" style="472" customWidth="1"/>
    <col min="7434" max="7434" width="17" style="472" customWidth="1"/>
    <col min="7435" max="7435" width="15.5703125" style="472" customWidth="1"/>
    <col min="7436" max="7436" width="17.7109375" style="472" customWidth="1"/>
    <col min="7437" max="7680" width="9.140625" style="472"/>
    <col min="7681" max="7681" width="7.42578125" style="472" customWidth="1"/>
    <col min="7682" max="7682" width="19.42578125" style="472" customWidth="1"/>
    <col min="7683" max="7684" width="12.7109375" style="472" customWidth="1"/>
    <col min="7685" max="7685" width="14.42578125" style="472" customWidth="1"/>
    <col min="7686" max="7686" width="17" style="472" customWidth="1"/>
    <col min="7687" max="7687" width="14.140625" style="472" customWidth="1"/>
    <col min="7688" max="7688" width="17" style="472" customWidth="1"/>
    <col min="7689" max="7689" width="13" style="472" customWidth="1"/>
    <col min="7690" max="7690" width="17" style="472" customWidth="1"/>
    <col min="7691" max="7691" width="15.5703125" style="472" customWidth="1"/>
    <col min="7692" max="7692" width="17.7109375" style="472" customWidth="1"/>
    <col min="7693" max="7936" width="9.140625" style="472"/>
    <col min="7937" max="7937" width="7.42578125" style="472" customWidth="1"/>
    <col min="7938" max="7938" width="19.42578125" style="472" customWidth="1"/>
    <col min="7939" max="7940" width="12.7109375" style="472" customWidth="1"/>
    <col min="7941" max="7941" width="14.42578125" style="472" customWidth="1"/>
    <col min="7942" max="7942" width="17" style="472" customWidth="1"/>
    <col min="7943" max="7943" width="14.140625" style="472" customWidth="1"/>
    <col min="7944" max="7944" width="17" style="472" customWidth="1"/>
    <col min="7945" max="7945" width="13" style="472" customWidth="1"/>
    <col min="7946" max="7946" width="17" style="472" customWidth="1"/>
    <col min="7947" max="7947" width="15.5703125" style="472" customWidth="1"/>
    <col min="7948" max="7948" width="17.7109375" style="472" customWidth="1"/>
    <col min="7949" max="8192" width="9.140625" style="472"/>
    <col min="8193" max="8193" width="7.42578125" style="472" customWidth="1"/>
    <col min="8194" max="8194" width="19.42578125" style="472" customWidth="1"/>
    <col min="8195" max="8196" width="12.7109375" style="472" customWidth="1"/>
    <col min="8197" max="8197" width="14.42578125" style="472" customWidth="1"/>
    <col min="8198" max="8198" width="17" style="472" customWidth="1"/>
    <col min="8199" max="8199" width="14.140625" style="472" customWidth="1"/>
    <col min="8200" max="8200" width="17" style="472" customWidth="1"/>
    <col min="8201" max="8201" width="13" style="472" customWidth="1"/>
    <col min="8202" max="8202" width="17" style="472" customWidth="1"/>
    <col min="8203" max="8203" width="15.5703125" style="472" customWidth="1"/>
    <col min="8204" max="8204" width="17.7109375" style="472" customWidth="1"/>
    <col min="8205" max="8448" width="9.140625" style="472"/>
    <col min="8449" max="8449" width="7.42578125" style="472" customWidth="1"/>
    <col min="8450" max="8450" width="19.42578125" style="472" customWidth="1"/>
    <col min="8451" max="8452" width="12.7109375" style="472" customWidth="1"/>
    <col min="8453" max="8453" width="14.42578125" style="472" customWidth="1"/>
    <col min="8454" max="8454" width="17" style="472" customWidth="1"/>
    <col min="8455" max="8455" width="14.140625" style="472" customWidth="1"/>
    <col min="8456" max="8456" width="17" style="472" customWidth="1"/>
    <col min="8457" max="8457" width="13" style="472" customWidth="1"/>
    <col min="8458" max="8458" width="17" style="472" customWidth="1"/>
    <col min="8459" max="8459" width="15.5703125" style="472" customWidth="1"/>
    <col min="8460" max="8460" width="17.7109375" style="472" customWidth="1"/>
    <col min="8461" max="8704" width="9.140625" style="472"/>
    <col min="8705" max="8705" width="7.42578125" style="472" customWidth="1"/>
    <col min="8706" max="8706" width="19.42578125" style="472" customWidth="1"/>
    <col min="8707" max="8708" width="12.7109375" style="472" customWidth="1"/>
    <col min="8709" max="8709" width="14.42578125" style="472" customWidth="1"/>
    <col min="8710" max="8710" width="17" style="472" customWidth="1"/>
    <col min="8711" max="8711" width="14.140625" style="472" customWidth="1"/>
    <col min="8712" max="8712" width="17" style="472" customWidth="1"/>
    <col min="8713" max="8713" width="13" style="472" customWidth="1"/>
    <col min="8714" max="8714" width="17" style="472" customWidth="1"/>
    <col min="8715" max="8715" width="15.5703125" style="472" customWidth="1"/>
    <col min="8716" max="8716" width="17.7109375" style="472" customWidth="1"/>
    <col min="8717" max="8960" width="9.140625" style="472"/>
    <col min="8961" max="8961" width="7.42578125" style="472" customWidth="1"/>
    <col min="8962" max="8962" width="19.42578125" style="472" customWidth="1"/>
    <col min="8963" max="8964" width="12.7109375" style="472" customWidth="1"/>
    <col min="8965" max="8965" width="14.42578125" style="472" customWidth="1"/>
    <col min="8966" max="8966" width="17" style="472" customWidth="1"/>
    <col min="8967" max="8967" width="14.140625" style="472" customWidth="1"/>
    <col min="8968" max="8968" width="17" style="472" customWidth="1"/>
    <col min="8969" max="8969" width="13" style="472" customWidth="1"/>
    <col min="8970" max="8970" width="17" style="472" customWidth="1"/>
    <col min="8971" max="8971" width="15.5703125" style="472" customWidth="1"/>
    <col min="8972" max="8972" width="17.7109375" style="472" customWidth="1"/>
    <col min="8973" max="9216" width="9.140625" style="472"/>
    <col min="9217" max="9217" width="7.42578125" style="472" customWidth="1"/>
    <col min="9218" max="9218" width="19.42578125" style="472" customWidth="1"/>
    <col min="9219" max="9220" width="12.7109375" style="472" customWidth="1"/>
    <col min="9221" max="9221" width="14.42578125" style="472" customWidth="1"/>
    <col min="9222" max="9222" width="17" style="472" customWidth="1"/>
    <col min="9223" max="9223" width="14.140625" style="472" customWidth="1"/>
    <col min="9224" max="9224" width="17" style="472" customWidth="1"/>
    <col min="9225" max="9225" width="13" style="472" customWidth="1"/>
    <col min="9226" max="9226" width="17" style="472" customWidth="1"/>
    <col min="9227" max="9227" width="15.5703125" style="472" customWidth="1"/>
    <col min="9228" max="9228" width="17.7109375" style="472" customWidth="1"/>
    <col min="9229" max="9472" width="9.140625" style="472"/>
    <col min="9473" max="9473" width="7.42578125" style="472" customWidth="1"/>
    <col min="9474" max="9474" width="19.42578125" style="472" customWidth="1"/>
    <col min="9475" max="9476" width="12.7109375" style="472" customWidth="1"/>
    <col min="9477" max="9477" width="14.42578125" style="472" customWidth="1"/>
    <col min="9478" max="9478" width="17" style="472" customWidth="1"/>
    <col min="9479" max="9479" width="14.140625" style="472" customWidth="1"/>
    <col min="9480" max="9480" width="17" style="472" customWidth="1"/>
    <col min="9481" max="9481" width="13" style="472" customWidth="1"/>
    <col min="9482" max="9482" width="17" style="472" customWidth="1"/>
    <col min="9483" max="9483" width="15.5703125" style="472" customWidth="1"/>
    <col min="9484" max="9484" width="17.7109375" style="472" customWidth="1"/>
    <col min="9485" max="9728" width="9.140625" style="472"/>
    <col min="9729" max="9729" width="7.42578125" style="472" customWidth="1"/>
    <col min="9730" max="9730" width="19.42578125" style="472" customWidth="1"/>
    <col min="9731" max="9732" width="12.7109375" style="472" customWidth="1"/>
    <col min="9733" max="9733" width="14.42578125" style="472" customWidth="1"/>
    <col min="9734" max="9734" width="17" style="472" customWidth="1"/>
    <col min="9735" max="9735" width="14.140625" style="472" customWidth="1"/>
    <col min="9736" max="9736" width="17" style="472" customWidth="1"/>
    <col min="9737" max="9737" width="13" style="472" customWidth="1"/>
    <col min="9738" max="9738" width="17" style="472" customWidth="1"/>
    <col min="9739" max="9739" width="15.5703125" style="472" customWidth="1"/>
    <col min="9740" max="9740" width="17.7109375" style="472" customWidth="1"/>
    <col min="9741" max="9984" width="9.140625" style="472"/>
    <col min="9985" max="9985" width="7.42578125" style="472" customWidth="1"/>
    <col min="9986" max="9986" width="19.42578125" style="472" customWidth="1"/>
    <col min="9987" max="9988" width="12.7109375" style="472" customWidth="1"/>
    <col min="9989" max="9989" width="14.42578125" style="472" customWidth="1"/>
    <col min="9990" max="9990" width="17" style="472" customWidth="1"/>
    <col min="9991" max="9991" width="14.140625" style="472" customWidth="1"/>
    <col min="9992" max="9992" width="17" style="472" customWidth="1"/>
    <col min="9993" max="9993" width="13" style="472" customWidth="1"/>
    <col min="9994" max="9994" width="17" style="472" customWidth="1"/>
    <col min="9995" max="9995" width="15.5703125" style="472" customWidth="1"/>
    <col min="9996" max="9996" width="17.7109375" style="472" customWidth="1"/>
    <col min="9997" max="10240" width="9.140625" style="472"/>
    <col min="10241" max="10241" width="7.42578125" style="472" customWidth="1"/>
    <col min="10242" max="10242" width="19.42578125" style="472" customWidth="1"/>
    <col min="10243" max="10244" width="12.7109375" style="472" customWidth="1"/>
    <col min="10245" max="10245" width="14.42578125" style="472" customWidth="1"/>
    <col min="10246" max="10246" width="17" style="472" customWidth="1"/>
    <col min="10247" max="10247" width="14.140625" style="472" customWidth="1"/>
    <col min="10248" max="10248" width="17" style="472" customWidth="1"/>
    <col min="10249" max="10249" width="13" style="472" customWidth="1"/>
    <col min="10250" max="10250" width="17" style="472" customWidth="1"/>
    <col min="10251" max="10251" width="15.5703125" style="472" customWidth="1"/>
    <col min="10252" max="10252" width="17.7109375" style="472" customWidth="1"/>
    <col min="10253" max="10496" width="9.140625" style="472"/>
    <col min="10497" max="10497" width="7.42578125" style="472" customWidth="1"/>
    <col min="10498" max="10498" width="19.42578125" style="472" customWidth="1"/>
    <col min="10499" max="10500" width="12.7109375" style="472" customWidth="1"/>
    <col min="10501" max="10501" width="14.42578125" style="472" customWidth="1"/>
    <col min="10502" max="10502" width="17" style="472" customWidth="1"/>
    <col min="10503" max="10503" width="14.140625" style="472" customWidth="1"/>
    <col min="10504" max="10504" width="17" style="472" customWidth="1"/>
    <col min="10505" max="10505" width="13" style="472" customWidth="1"/>
    <col min="10506" max="10506" width="17" style="472" customWidth="1"/>
    <col min="10507" max="10507" width="15.5703125" style="472" customWidth="1"/>
    <col min="10508" max="10508" width="17.7109375" style="472" customWidth="1"/>
    <col min="10509" max="10752" width="9.140625" style="472"/>
    <col min="10753" max="10753" width="7.42578125" style="472" customWidth="1"/>
    <col min="10754" max="10754" width="19.42578125" style="472" customWidth="1"/>
    <col min="10755" max="10756" width="12.7109375" style="472" customWidth="1"/>
    <col min="10757" max="10757" width="14.42578125" style="472" customWidth="1"/>
    <col min="10758" max="10758" width="17" style="472" customWidth="1"/>
    <col min="10759" max="10759" width="14.140625" style="472" customWidth="1"/>
    <col min="10760" max="10760" width="17" style="472" customWidth="1"/>
    <col min="10761" max="10761" width="13" style="472" customWidth="1"/>
    <col min="10762" max="10762" width="17" style="472" customWidth="1"/>
    <col min="10763" max="10763" width="15.5703125" style="472" customWidth="1"/>
    <col min="10764" max="10764" width="17.7109375" style="472" customWidth="1"/>
    <col min="10765" max="11008" width="9.140625" style="472"/>
    <col min="11009" max="11009" width="7.42578125" style="472" customWidth="1"/>
    <col min="11010" max="11010" width="19.42578125" style="472" customWidth="1"/>
    <col min="11011" max="11012" width="12.7109375" style="472" customWidth="1"/>
    <col min="11013" max="11013" width="14.42578125" style="472" customWidth="1"/>
    <col min="11014" max="11014" width="17" style="472" customWidth="1"/>
    <col min="11015" max="11015" width="14.140625" style="472" customWidth="1"/>
    <col min="11016" max="11016" width="17" style="472" customWidth="1"/>
    <col min="11017" max="11017" width="13" style="472" customWidth="1"/>
    <col min="11018" max="11018" width="17" style="472" customWidth="1"/>
    <col min="11019" max="11019" width="15.5703125" style="472" customWidth="1"/>
    <col min="11020" max="11020" width="17.7109375" style="472" customWidth="1"/>
    <col min="11021" max="11264" width="9.140625" style="472"/>
    <col min="11265" max="11265" width="7.42578125" style="472" customWidth="1"/>
    <col min="11266" max="11266" width="19.42578125" style="472" customWidth="1"/>
    <col min="11267" max="11268" width="12.7109375" style="472" customWidth="1"/>
    <col min="11269" max="11269" width="14.42578125" style="472" customWidth="1"/>
    <col min="11270" max="11270" width="17" style="472" customWidth="1"/>
    <col min="11271" max="11271" width="14.140625" style="472" customWidth="1"/>
    <col min="11272" max="11272" width="17" style="472" customWidth="1"/>
    <col min="11273" max="11273" width="13" style="472" customWidth="1"/>
    <col min="11274" max="11274" width="17" style="472" customWidth="1"/>
    <col min="11275" max="11275" width="15.5703125" style="472" customWidth="1"/>
    <col min="11276" max="11276" width="17.7109375" style="472" customWidth="1"/>
    <col min="11277" max="11520" width="9.140625" style="472"/>
    <col min="11521" max="11521" width="7.42578125" style="472" customWidth="1"/>
    <col min="11522" max="11522" width="19.42578125" style="472" customWidth="1"/>
    <col min="11523" max="11524" width="12.7109375" style="472" customWidth="1"/>
    <col min="11525" max="11525" width="14.42578125" style="472" customWidth="1"/>
    <col min="11526" max="11526" width="17" style="472" customWidth="1"/>
    <col min="11527" max="11527" width="14.140625" style="472" customWidth="1"/>
    <col min="11528" max="11528" width="17" style="472" customWidth="1"/>
    <col min="11529" max="11529" width="13" style="472" customWidth="1"/>
    <col min="11530" max="11530" width="17" style="472" customWidth="1"/>
    <col min="11531" max="11531" width="15.5703125" style="472" customWidth="1"/>
    <col min="11532" max="11532" width="17.7109375" style="472" customWidth="1"/>
    <col min="11533" max="11776" width="9.140625" style="472"/>
    <col min="11777" max="11777" width="7.42578125" style="472" customWidth="1"/>
    <col min="11778" max="11778" width="19.42578125" style="472" customWidth="1"/>
    <col min="11779" max="11780" width="12.7109375" style="472" customWidth="1"/>
    <col min="11781" max="11781" width="14.42578125" style="472" customWidth="1"/>
    <col min="11782" max="11782" width="17" style="472" customWidth="1"/>
    <col min="11783" max="11783" width="14.140625" style="472" customWidth="1"/>
    <col min="11784" max="11784" width="17" style="472" customWidth="1"/>
    <col min="11785" max="11785" width="13" style="472" customWidth="1"/>
    <col min="11786" max="11786" width="17" style="472" customWidth="1"/>
    <col min="11787" max="11787" width="15.5703125" style="472" customWidth="1"/>
    <col min="11788" max="11788" width="17.7109375" style="472" customWidth="1"/>
    <col min="11789" max="12032" width="9.140625" style="472"/>
    <col min="12033" max="12033" width="7.42578125" style="472" customWidth="1"/>
    <col min="12034" max="12034" width="19.42578125" style="472" customWidth="1"/>
    <col min="12035" max="12036" width="12.7109375" style="472" customWidth="1"/>
    <col min="12037" max="12037" width="14.42578125" style="472" customWidth="1"/>
    <col min="12038" max="12038" width="17" style="472" customWidth="1"/>
    <col min="12039" max="12039" width="14.140625" style="472" customWidth="1"/>
    <col min="12040" max="12040" width="17" style="472" customWidth="1"/>
    <col min="12041" max="12041" width="13" style="472" customWidth="1"/>
    <col min="12042" max="12042" width="17" style="472" customWidth="1"/>
    <col min="12043" max="12043" width="15.5703125" style="472" customWidth="1"/>
    <col min="12044" max="12044" width="17.7109375" style="472" customWidth="1"/>
    <col min="12045" max="12288" width="9.140625" style="472"/>
    <col min="12289" max="12289" width="7.42578125" style="472" customWidth="1"/>
    <col min="12290" max="12290" width="19.42578125" style="472" customWidth="1"/>
    <col min="12291" max="12292" width="12.7109375" style="472" customWidth="1"/>
    <col min="12293" max="12293" width="14.42578125" style="472" customWidth="1"/>
    <col min="12294" max="12294" width="17" style="472" customWidth="1"/>
    <col min="12295" max="12295" width="14.140625" style="472" customWidth="1"/>
    <col min="12296" max="12296" width="17" style="472" customWidth="1"/>
    <col min="12297" max="12297" width="13" style="472" customWidth="1"/>
    <col min="12298" max="12298" width="17" style="472" customWidth="1"/>
    <col min="12299" max="12299" width="15.5703125" style="472" customWidth="1"/>
    <col min="12300" max="12300" width="17.7109375" style="472" customWidth="1"/>
    <col min="12301" max="12544" width="9.140625" style="472"/>
    <col min="12545" max="12545" width="7.42578125" style="472" customWidth="1"/>
    <col min="12546" max="12546" width="19.42578125" style="472" customWidth="1"/>
    <col min="12547" max="12548" width="12.7109375" style="472" customWidth="1"/>
    <col min="12549" max="12549" width="14.42578125" style="472" customWidth="1"/>
    <col min="12550" max="12550" width="17" style="472" customWidth="1"/>
    <col min="12551" max="12551" width="14.140625" style="472" customWidth="1"/>
    <col min="12552" max="12552" width="17" style="472" customWidth="1"/>
    <col min="12553" max="12553" width="13" style="472" customWidth="1"/>
    <col min="12554" max="12554" width="17" style="472" customWidth="1"/>
    <col min="12555" max="12555" width="15.5703125" style="472" customWidth="1"/>
    <col min="12556" max="12556" width="17.7109375" style="472" customWidth="1"/>
    <col min="12557" max="12800" width="9.140625" style="472"/>
    <col min="12801" max="12801" width="7.42578125" style="472" customWidth="1"/>
    <col min="12802" max="12802" width="19.42578125" style="472" customWidth="1"/>
    <col min="12803" max="12804" width="12.7109375" style="472" customWidth="1"/>
    <col min="12805" max="12805" width="14.42578125" style="472" customWidth="1"/>
    <col min="12806" max="12806" width="17" style="472" customWidth="1"/>
    <col min="12807" max="12807" width="14.140625" style="472" customWidth="1"/>
    <col min="12808" max="12808" width="17" style="472" customWidth="1"/>
    <col min="12809" max="12809" width="13" style="472" customWidth="1"/>
    <col min="12810" max="12810" width="17" style="472" customWidth="1"/>
    <col min="12811" max="12811" width="15.5703125" style="472" customWidth="1"/>
    <col min="12812" max="12812" width="17.7109375" style="472" customWidth="1"/>
    <col min="12813" max="13056" width="9.140625" style="472"/>
    <col min="13057" max="13057" width="7.42578125" style="472" customWidth="1"/>
    <col min="13058" max="13058" width="19.42578125" style="472" customWidth="1"/>
    <col min="13059" max="13060" width="12.7109375" style="472" customWidth="1"/>
    <col min="13061" max="13061" width="14.42578125" style="472" customWidth="1"/>
    <col min="13062" max="13062" width="17" style="472" customWidth="1"/>
    <col min="13063" max="13063" width="14.140625" style="472" customWidth="1"/>
    <col min="13064" max="13064" width="17" style="472" customWidth="1"/>
    <col min="13065" max="13065" width="13" style="472" customWidth="1"/>
    <col min="13066" max="13066" width="17" style="472" customWidth="1"/>
    <col min="13067" max="13067" width="15.5703125" style="472" customWidth="1"/>
    <col min="13068" max="13068" width="17.7109375" style="472" customWidth="1"/>
    <col min="13069" max="13312" width="9.140625" style="472"/>
    <col min="13313" max="13313" width="7.42578125" style="472" customWidth="1"/>
    <col min="13314" max="13314" width="19.42578125" style="472" customWidth="1"/>
    <col min="13315" max="13316" width="12.7109375" style="472" customWidth="1"/>
    <col min="13317" max="13317" width="14.42578125" style="472" customWidth="1"/>
    <col min="13318" max="13318" width="17" style="472" customWidth="1"/>
    <col min="13319" max="13319" width="14.140625" style="472" customWidth="1"/>
    <col min="13320" max="13320" width="17" style="472" customWidth="1"/>
    <col min="13321" max="13321" width="13" style="472" customWidth="1"/>
    <col min="13322" max="13322" width="17" style="472" customWidth="1"/>
    <col min="13323" max="13323" width="15.5703125" style="472" customWidth="1"/>
    <col min="13324" max="13324" width="17.7109375" style="472" customWidth="1"/>
    <col min="13325" max="13568" width="9.140625" style="472"/>
    <col min="13569" max="13569" width="7.42578125" style="472" customWidth="1"/>
    <col min="13570" max="13570" width="19.42578125" style="472" customWidth="1"/>
    <col min="13571" max="13572" width="12.7109375" style="472" customWidth="1"/>
    <col min="13573" max="13573" width="14.42578125" style="472" customWidth="1"/>
    <col min="13574" max="13574" width="17" style="472" customWidth="1"/>
    <col min="13575" max="13575" width="14.140625" style="472" customWidth="1"/>
    <col min="13576" max="13576" width="17" style="472" customWidth="1"/>
    <col min="13577" max="13577" width="13" style="472" customWidth="1"/>
    <col min="13578" max="13578" width="17" style="472" customWidth="1"/>
    <col min="13579" max="13579" width="15.5703125" style="472" customWidth="1"/>
    <col min="13580" max="13580" width="17.7109375" style="472" customWidth="1"/>
    <col min="13581" max="13824" width="9.140625" style="472"/>
    <col min="13825" max="13825" width="7.42578125" style="472" customWidth="1"/>
    <col min="13826" max="13826" width="19.42578125" style="472" customWidth="1"/>
    <col min="13827" max="13828" width="12.7109375" style="472" customWidth="1"/>
    <col min="13829" max="13829" width="14.42578125" style="472" customWidth="1"/>
    <col min="13830" max="13830" width="17" style="472" customWidth="1"/>
    <col min="13831" max="13831" width="14.140625" style="472" customWidth="1"/>
    <col min="13832" max="13832" width="17" style="472" customWidth="1"/>
    <col min="13833" max="13833" width="13" style="472" customWidth="1"/>
    <col min="13834" max="13834" width="17" style="472" customWidth="1"/>
    <col min="13835" max="13835" width="15.5703125" style="472" customWidth="1"/>
    <col min="13836" max="13836" width="17.7109375" style="472" customWidth="1"/>
    <col min="13837" max="14080" width="9.140625" style="472"/>
    <col min="14081" max="14081" width="7.42578125" style="472" customWidth="1"/>
    <col min="14082" max="14082" width="19.42578125" style="472" customWidth="1"/>
    <col min="14083" max="14084" width="12.7109375" style="472" customWidth="1"/>
    <col min="14085" max="14085" width="14.42578125" style="472" customWidth="1"/>
    <col min="14086" max="14086" width="17" style="472" customWidth="1"/>
    <col min="14087" max="14087" width="14.140625" style="472" customWidth="1"/>
    <col min="14088" max="14088" width="17" style="472" customWidth="1"/>
    <col min="14089" max="14089" width="13" style="472" customWidth="1"/>
    <col min="14090" max="14090" width="17" style="472" customWidth="1"/>
    <col min="14091" max="14091" width="15.5703125" style="472" customWidth="1"/>
    <col min="14092" max="14092" width="17.7109375" style="472" customWidth="1"/>
    <col min="14093" max="14336" width="9.140625" style="472"/>
    <col min="14337" max="14337" width="7.42578125" style="472" customWidth="1"/>
    <col min="14338" max="14338" width="19.42578125" style="472" customWidth="1"/>
    <col min="14339" max="14340" width="12.7109375" style="472" customWidth="1"/>
    <col min="14341" max="14341" width="14.42578125" style="472" customWidth="1"/>
    <col min="14342" max="14342" width="17" style="472" customWidth="1"/>
    <col min="14343" max="14343" width="14.140625" style="472" customWidth="1"/>
    <col min="14344" max="14344" width="17" style="472" customWidth="1"/>
    <col min="14345" max="14345" width="13" style="472" customWidth="1"/>
    <col min="14346" max="14346" width="17" style="472" customWidth="1"/>
    <col min="14347" max="14347" width="15.5703125" style="472" customWidth="1"/>
    <col min="14348" max="14348" width="17.7109375" style="472" customWidth="1"/>
    <col min="14349" max="14592" width="9.140625" style="472"/>
    <col min="14593" max="14593" width="7.42578125" style="472" customWidth="1"/>
    <col min="14594" max="14594" width="19.42578125" style="472" customWidth="1"/>
    <col min="14595" max="14596" width="12.7109375" style="472" customWidth="1"/>
    <col min="14597" max="14597" width="14.42578125" style="472" customWidth="1"/>
    <col min="14598" max="14598" width="17" style="472" customWidth="1"/>
    <col min="14599" max="14599" width="14.140625" style="472" customWidth="1"/>
    <col min="14600" max="14600" width="17" style="472" customWidth="1"/>
    <col min="14601" max="14601" width="13" style="472" customWidth="1"/>
    <col min="14602" max="14602" width="17" style="472" customWidth="1"/>
    <col min="14603" max="14603" width="15.5703125" style="472" customWidth="1"/>
    <col min="14604" max="14604" width="17.7109375" style="472" customWidth="1"/>
    <col min="14605" max="14848" width="9.140625" style="472"/>
    <col min="14849" max="14849" width="7.42578125" style="472" customWidth="1"/>
    <col min="14850" max="14850" width="19.42578125" style="472" customWidth="1"/>
    <col min="14851" max="14852" width="12.7109375" style="472" customWidth="1"/>
    <col min="14853" max="14853" width="14.42578125" style="472" customWidth="1"/>
    <col min="14854" max="14854" width="17" style="472" customWidth="1"/>
    <col min="14855" max="14855" width="14.140625" style="472" customWidth="1"/>
    <col min="14856" max="14856" width="17" style="472" customWidth="1"/>
    <col min="14857" max="14857" width="13" style="472" customWidth="1"/>
    <col min="14858" max="14858" width="17" style="472" customWidth="1"/>
    <col min="14859" max="14859" width="15.5703125" style="472" customWidth="1"/>
    <col min="14860" max="14860" width="17.7109375" style="472" customWidth="1"/>
    <col min="14861" max="15104" width="9.140625" style="472"/>
    <col min="15105" max="15105" width="7.42578125" style="472" customWidth="1"/>
    <col min="15106" max="15106" width="19.42578125" style="472" customWidth="1"/>
    <col min="15107" max="15108" width="12.7109375" style="472" customWidth="1"/>
    <col min="15109" max="15109" width="14.42578125" style="472" customWidth="1"/>
    <col min="15110" max="15110" width="17" style="472" customWidth="1"/>
    <col min="15111" max="15111" width="14.140625" style="472" customWidth="1"/>
    <col min="15112" max="15112" width="17" style="472" customWidth="1"/>
    <col min="15113" max="15113" width="13" style="472" customWidth="1"/>
    <col min="15114" max="15114" width="17" style="472" customWidth="1"/>
    <col min="15115" max="15115" width="15.5703125" style="472" customWidth="1"/>
    <col min="15116" max="15116" width="17.7109375" style="472" customWidth="1"/>
    <col min="15117" max="15360" width="9.140625" style="472"/>
    <col min="15361" max="15361" width="7.42578125" style="472" customWidth="1"/>
    <col min="15362" max="15362" width="19.42578125" style="472" customWidth="1"/>
    <col min="15363" max="15364" width="12.7109375" style="472" customWidth="1"/>
    <col min="15365" max="15365" width="14.42578125" style="472" customWidth="1"/>
    <col min="15366" max="15366" width="17" style="472" customWidth="1"/>
    <col min="15367" max="15367" width="14.140625" style="472" customWidth="1"/>
    <col min="15368" max="15368" width="17" style="472" customWidth="1"/>
    <col min="15369" max="15369" width="13" style="472" customWidth="1"/>
    <col min="15370" max="15370" width="17" style="472" customWidth="1"/>
    <col min="15371" max="15371" width="15.5703125" style="472" customWidth="1"/>
    <col min="15372" max="15372" width="17.7109375" style="472" customWidth="1"/>
    <col min="15373" max="15616" width="9.140625" style="472"/>
    <col min="15617" max="15617" width="7.42578125" style="472" customWidth="1"/>
    <col min="15618" max="15618" width="19.42578125" style="472" customWidth="1"/>
    <col min="15619" max="15620" width="12.7109375" style="472" customWidth="1"/>
    <col min="15621" max="15621" width="14.42578125" style="472" customWidth="1"/>
    <col min="15622" max="15622" width="17" style="472" customWidth="1"/>
    <col min="15623" max="15623" width="14.140625" style="472" customWidth="1"/>
    <col min="15624" max="15624" width="17" style="472" customWidth="1"/>
    <col min="15625" max="15625" width="13" style="472" customWidth="1"/>
    <col min="15626" max="15626" width="17" style="472" customWidth="1"/>
    <col min="15627" max="15627" width="15.5703125" style="472" customWidth="1"/>
    <col min="15628" max="15628" width="17.7109375" style="472" customWidth="1"/>
    <col min="15629" max="15872" width="9.140625" style="472"/>
    <col min="15873" max="15873" width="7.42578125" style="472" customWidth="1"/>
    <col min="15874" max="15874" width="19.42578125" style="472" customWidth="1"/>
    <col min="15875" max="15876" width="12.7109375" style="472" customWidth="1"/>
    <col min="15877" max="15877" width="14.42578125" style="472" customWidth="1"/>
    <col min="15878" max="15878" width="17" style="472" customWidth="1"/>
    <col min="15879" max="15879" width="14.140625" style="472" customWidth="1"/>
    <col min="15880" max="15880" width="17" style="472" customWidth="1"/>
    <col min="15881" max="15881" width="13" style="472" customWidth="1"/>
    <col min="15882" max="15882" width="17" style="472" customWidth="1"/>
    <col min="15883" max="15883" width="15.5703125" style="472" customWidth="1"/>
    <col min="15884" max="15884" width="17.7109375" style="472" customWidth="1"/>
    <col min="15885" max="16128" width="9.140625" style="472"/>
    <col min="16129" max="16129" width="7.42578125" style="472" customWidth="1"/>
    <col min="16130" max="16130" width="19.42578125" style="472" customWidth="1"/>
    <col min="16131" max="16132" width="12.7109375" style="472" customWidth="1"/>
    <col min="16133" max="16133" width="14.42578125" style="472" customWidth="1"/>
    <col min="16134" max="16134" width="17" style="472" customWidth="1"/>
    <col min="16135" max="16135" width="14.140625" style="472" customWidth="1"/>
    <col min="16136" max="16136" width="17" style="472" customWidth="1"/>
    <col min="16137" max="16137" width="13" style="472" customWidth="1"/>
    <col min="16138" max="16138" width="17" style="472" customWidth="1"/>
    <col min="16139" max="16139" width="15.5703125" style="472" customWidth="1"/>
    <col min="16140" max="16140" width="17.7109375" style="472" customWidth="1"/>
    <col min="16141" max="16384" width="9.140625" style="472"/>
  </cols>
  <sheetData>
    <row r="1" spans="1:12" ht="15" x14ac:dyDescent="0.2">
      <c r="A1" s="494"/>
      <c r="B1" s="494"/>
      <c r="C1" s="494"/>
      <c r="D1" s="494"/>
      <c r="E1" s="494"/>
      <c r="F1" s="494"/>
      <c r="G1" s="494"/>
      <c r="H1" s="494"/>
      <c r="K1" s="1045" t="s">
        <v>85</v>
      </c>
      <c r="L1" s="1045"/>
    </row>
    <row r="2" spans="1:12" ht="15.75" x14ac:dyDescent="0.25">
      <c r="A2" s="1046" t="s">
        <v>0</v>
      </c>
      <c r="B2" s="1046"/>
      <c r="C2" s="1046"/>
      <c r="D2" s="1046"/>
      <c r="E2" s="1046"/>
      <c r="F2" s="1046"/>
      <c r="G2" s="1046"/>
      <c r="H2" s="1046"/>
      <c r="I2" s="494"/>
      <c r="J2" s="494"/>
      <c r="K2" s="494"/>
      <c r="L2" s="494"/>
    </row>
    <row r="3" spans="1:12" ht="20.25" x14ac:dyDescent="0.3">
      <c r="A3" s="900" t="s">
        <v>738</v>
      </c>
      <c r="B3" s="900"/>
      <c r="C3" s="900"/>
      <c r="D3" s="900"/>
      <c r="E3" s="900"/>
      <c r="F3" s="900"/>
      <c r="G3" s="900"/>
      <c r="H3" s="900"/>
      <c r="I3" s="494"/>
      <c r="J3" s="494"/>
      <c r="K3" s="494"/>
      <c r="L3" s="494"/>
    </row>
    <row r="4" spans="1:12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15.75" x14ac:dyDescent="0.25">
      <c r="A5" s="901" t="s">
        <v>857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</row>
    <row r="6" spans="1:12" x14ac:dyDescent="0.2">
      <c r="A6" s="494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</row>
    <row r="7" spans="1:12" ht="15" x14ac:dyDescent="0.3">
      <c r="A7" s="197" t="s">
        <v>917</v>
      </c>
      <c r="B7" s="197" t="s">
        <v>916</v>
      </c>
      <c r="C7" s="494"/>
      <c r="D7" s="494"/>
      <c r="E7" s="494"/>
      <c r="F7" s="494"/>
      <c r="G7" s="494"/>
      <c r="H7" s="487"/>
      <c r="I7" s="494"/>
      <c r="J7" s="494"/>
      <c r="K7" s="494"/>
      <c r="L7" s="494"/>
    </row>
    <row r="8" spans="1:12" ht="18" x14ac:dyDescent="0.25">
      <c r="A8" s="496"/>
      <c r="B8" s="496"/>
      <c r="C8" s="494"/>
      <c r="D8" s="494"/>
      <c r="E8" s="494"/>
      <c r="F8" s="494"/>
      <c r="G8" s="494"/>
      <c r="H8" s="494"/>
      <c r="I8" s="486"/>
      <c r="J8" s="1044" t="s">
        <v>1186</v>
      </c>
      <c r="K8" s="1044"/>
      <c r="L8" s="1044"/>
    </row>
    <row r="9" spans="1:12" ht="27.75" customHeight="1" x14ac:dyDescent="0.2">
      <c r="A9" s="1040" t="s">
        <v>215</v>
      </c>
      <c r="B9" s="1040" t="s">
        <v>214</v>
      </c>
      <c r="C9" s="1042" t="s">
        <v>1050</v>
      </c>
      <c r="D9" s="1042" t="s">
        <v>486</v>
      </c>
      <c r="E9" s="1038" t="s">
        <v>487</v>
      </c>
      <c r="F9" s="1038"/>
      <c r="G9" s="1038" t="s">
        <v>444</v>
      </c>
      <c r="H9" s="1038"/>
      <c r="I9" s="1038" t="s">
        <v>225</v>
      </c>
      <c r="J9" s="1038"/>
      <c r="K9" s="914" t="s">
        <v>226</v>
      </c>
      <c r="L9" s="914"/>
    </row>
    <row r="10" spans="1:12" ht="52.5" customHeight="1" x14ac:dyDescent="0.2">
      <c r="A10" s="1041"/>
      <c r="B10" s="1041"/>
      <c r="C10" s="1043"/>
      <c r="D10" s="1043"/>
      <c r="E10" s="654" t="s">
        <v>1051</v>
      </c>
      <c r="F10" s="654" t="s">
        <v>196</v>
      </c>
      <c r="G10" s="654" t="s">
        <v>1049</v>
      </c>
      <c r="H10" s="654" t="s">
        <v>196</v>
      </c>
      <c r="I10" s="654" t="s">
        <v>1048</v>
      </c>
      <c r="J10" s="654" t="s">
        <v>196</v>
      </c>
      <c r="K10" s="654" t="s">
        <v>712</v>
      </c>
      <c r="L10" s="654" t="s">
        <v>711</v>
      </c>
    </row>
    <row r="11" spans="1:12" s="508" customFormat="1" x14ac:dyDescent="0.2">
      <c r="A11" s="655">
        <v>1</v>
      </c>
      <c r="B11" s="655">
        <v>2</v>
      </c>
      <c r="C11" s="655">
        <v>3</v>
      </c>
      <c r="D11" s="655">
        <v>4</v>
      </c>
      <c r="E11" s="655">
        <v>5</v>
      </c>
      <c r="F11" s="655">
        <v>6</v>
      </c>
      <c r="G11" s="655">
        <v>7</v>
      </c>
      <c r="H11" s="655">
        <v>8</v>
      </c>
      <c r="I11" s="655">
        <v>9</v>
      </c>
      <c r="J11" s="655">
        <v>10</v>
      </c>
      <c r="K11" s="655">
        <v>11</v>
      </c>
      <c r="L11" s="655">
        <v>12</v>
      </c>
    </row>
    <row r="12" spans="1:12" s="508" customFormat="1" ht="15.75" x14ac:dyDescent="0.25">
      <c r="A12" s="499">
        <v>1</v>
      </c>
      <c r="B12" s="658" t="s">
        <v>1021</v>
      </c>
      <c r="C12" s="659">
        <v>1405</v>
      </c>
      <c r="D12" s="659">
        <v>114248</v>
      </c>
      <c r="E12" s="659">
        <v>1405</v>
      </c>
      <c r="F12" s="659">
        <v>114248</v>
      </c>
      <c r="G12" s="661">
        <v>574</v>
      </c>
      <c r="H12" s="661">
        <v>40235</v>
      </c>
      <c r="I12" s="661">
        <v>1197</v>
      </c>
      <c r="J12" s="661">
        <v>73090</v>
      </c>
      <c r="K12" s="660">
        <f>507+1193</f>
        <v>1700</v>
      </c>
      <c r="L12" s="660">
        <v>1193</v>
      </c>
    </row>
    <row r="13" spans="1:12" s="508" customFormat="1" ht="15.75" x14ac:dyDescent="0.25">
      <c r="A13" s="499">
        <v>2</v>
      </c>
      <c r="B13" s="658" t="s">
        <v>1022</v>
      </c>
      <c r="C13" s="659">
        <v>1792</v>
      </c>
      <c r="D13" s="659">
        <v>192170</v>
      </c>
      <c r="E13" s="659">
        <v>1792</v>
      </c>
      <c r="F13" s="659">
        <v>192170</v>
      </c>
      <c r="G13" s="661">
        <v>712</v>
      </c>
      <c r="H13" s="661">
        <v>67875</v>
      </c>
      <c r="I13" s="661">
        <v>1821</v>
      </c>
      <c r="J13" s="661">
        <v>143469</v>
      </c>
      <c r="K13" s="660">
        <v>1189</v>
      </c>
      <c r="L13" s="660">
        <v>488</v>
      </c>
    </row>
    <row r="14" spans="1:12" s="508" customFormat="1" ht="15.75" x14ac:dyDescent="0.25">
      <c r="A14" s="499">
        <v>3</v>
      </c>
      <c r="B14" s="658" t="s">
        <v>1023</v>
      </c>
      <c r="C14" s="659">
        <v>1878</v>
      </c>
      <c r="D14" s="659">
        <v>114732</v>
      </c>
      <c r="E14" s="659">
        <v>1878</v>
      </c>
      <c r="F14" s="659">
        <v>114732</v>
      </c>
      <c r="G14" s="661">
        <v>595</v>
      </c>
      <c r="H14" s="661">
        <v>36395</v>
      </c>
      <c r="I14" s="661">
        <v>1946</v>
      </c>
      <c r="J14" s="661">
        <v>107326</v>
      </c>
      <c r="K14" s="660">
        <v>1287</v>
      </c>
      <c r="L14" s="660">
        <v>379</v>
      </c>
    </row>
    <row r="15" spans="1:12" s="508" customFormat="1" ht="15.75" x14ac:dyDescent="0.25">
      <c r="A15" s="499">
        <v>4</v>
      </c>
      <c r="B15" s="658" t="s">
        <v>1024</v>
      </c>
      <c r="C15" s="659">
        <v>2165</v>
      </c>
      <c r="D15" s="659">
        <v>124284</v>
      </c>
      <c r="E15" s="659">
        <v>2165</v>
      </c>
      <c r="F15" s="659">
        <v>124284</v>
      </c>
      <c r="G15" s="661">
        <v>731</v>
      </c>
      <c r="H15" s="661">
        <v>34471</v>
      </c>
      <c r="I15" s="661">
        <v>2134</v>
      </c>
      <c r="J15" s="661">
        <v>102038</v>
      </c>
      <c r="K15" s="660">
        <v>687</v>
      </c>
      <c r="L15" s="660">
        <v>687</v>
      </c>
    </row>
    <row r="16" spans="1:12" s="508" customFormat="1" ht="15.75" x14ac:dyDescent="0.25">
      <c r="A16" s="499">
        <v>5</v>
      </c>
      <c r="B16" s="658" t="s">
        <v>1025</v>
      </c>
      <c r="C16" s="659">
        <v>1292</v>
      </c>
      <c r="D16" s="659">
        <v>135345</v>
      </c>
      <c r="E16" s="659">
        <v>1292</v>
      </c>
      <c r="F16" s="659">
        <v>135345</v>
      </c>
      <c r="G16" s="661">
        <v>333</v>
      </c>
      <c r="H16" s="661">
        <v>40956</v>
      </c>
      <c r="I16" s="661">
        <v>1126</v>
      </c>
      <c r="J16" s="661">
        <v>107966</v>
      </c>
      <c r="K16" s="660">
        <v>1225</v>
      </c>
      <c r="L16" s="660">
        <v>1128</v>
      </c>
    </row>
    <row r="17" spans="1:12" s="508" customFormat="1" ht="15.75" x14ac:dyDescent="0.25">
      <c r="A17" s="499">
        <v>6</v>
      </c>
      <c r="B17" s="658" t="s">
        <v>1026</v>
      </c>
      <c r="C17" s="659">
        <v>612</v>
      </c>
      <c r="D17" s="659">
        <v>38552</v>
      </c>
      <c r="E17" s="659">
        <v>612</v>
      </c>
      <c r="F17" s="659">
        <v>38552</v>
      </c>
      <c r="G17" s="661">
        <v>370</v>
      </c>
      <c r="H17" s="661">
        <v>18909</v>
      </c>
      <c r="I17" s="661">
        <v>728</v>
      </c>
      <c r="J17" s="661">
        <v>33937</v>
      </c>
      <c r="K17" s="660">
        <v>551</v>
      </c>
      <c r="L17" s="660">
        <v>500</v>
      </c>
    </row>
    <row r="18" spans="1:12" s="508" customFormat="1" ht="15.75" x14ac:dyDescent="0.25">
      <c r="A18" s="499">
        <v>7</v>
      </c>
      <c r="B18" s="658" t="s">
        <v>1027</v>
      </c>
      <c r="C18" s="659">
        <v>2711</v>
      </c>
      <c r="D18" s="659">
        <v>271830</v>
      </c>
      <c r="E18" s="659">
        <v>2711</v>
      </c>
      <c r="F18" s="659">
        <v>271830</v>
      </c>
      <c r="G18" s="661">
        <v>872</v>
      </c>
      <c r="H18" s="661">
        <v>90094</v>
      </c>
      <c r="I18" s="661">
        <v>2452</v>
      </c>
      <c r="J18" s="661">
        <v>190670</v>
      </c>
      <c r="K18" s="660">
        <v>2120</v>
      </c>
      <c r="L18" s="660">
        <v>2120</v>
      </c>
    </row>
    <row r="19" spans="1:12" s="508" customFormat="1" ht="15.75" x14ac:dyDescent="0.25">
      <c r="A19" s="499">
        <v>8</v>
      </c>
      <c r="B19" s="658" t="s">
        <v>1028</v>
      </c>
      <c r="C19" s="659">
        <v>829</v>
      </c>
      <c r="D19" s="659">
        <v>44118</v>
      </c>
      <c r="E19" s="659">
        <v>829</v>
      </c>
      <c r="F19" s="659">
        <v>44118</v>
      </c>
      <c r="G19" s="661">
        <v>395</v>
      </c>
      <c r="H19" s="661">
        <v>17933</v>
      </c>
      <c r="I19" s="661">
        <v>852</v>
      </c>
      <c r="J19" s="661">
        <v>34364</v>
      </c>
      <c r="K19" s="660">
        <v>833</v>
      </c>
      <c r="L19" s="660">
        <v>247</v>
      </c>
    </row>
    <row r="20" spans="1:12" s="508" customFormat="1" ht="15.75" x14ac:dyDescent="0.25">
      <c r="A20" s="499">
        <v>9</v>
      </c>
      <c r="B20" s="658" t="s">
        <v>1029</v>
      </c>
      <c r="C20" s="659">
        <v>1439</v>
      </c>
      <c r="D20" s="659">
        <v>109058</v>
      </c>
      <c r="E20" s="659">
        <v>1439</v>
      </c>
      <c r="F20" s="659">
        <v>109058</v>
      </c>
      <c r="G20" s="661">
        <v>487</v>
      </c>
      <c r="H20" s="661">
        <v>41557</v>
      </c>
      <c r="I20" s="661">
        <v>1333</v>
      </c>
      <c r="J20" s="661">
        <v>75188</v>
      </c>
      <c r="K20" s="660">
        <v>1452</v>
      </c>
      <c r="L20" s="660">
        <v>1064</v>
      </c>
    </row>
    <row r="21" spans="1:12" s="508" customFormat="1" ht="15.75" x14ac:dyDescent="0.25">
      <c r="A21" s="499">
        <v>10</v>
      </c>
      <c r="B21" s="658" t="s">
        <v>1030</v>
      </c>
      <c r="C21" s="659">
        <v>1066</v>
      </c>
      <c r="D21" s="659">
        <v>132031</v>
      </c>
      <c r="E21" s="659">
        <v>1066</v>
      </c>
      <c r="F21" s="659">
        <v>132031</v>
      </c>
      <c r="G21" s="661">
        <v>505</v>
      </c>
      <c r="H21" s="661">
        <v>57798</v>
      </c>
      <c r="I21" s="661">
        <v>969</v>
      </c>
      <c r="J21" s="661">
        <v>102970</v>
      </c>
      <c r="K21" s="660">
        <v>2861</v>
      </c>
      <c r="L21" s="660">
        <v>2301</v>
      </c>
    </row>
    <row r="22" spans="1:12" s="508" customFormat="1" ht="15.75" x14ac:dyDescent="0.25">
      <c r="A22" s="499">
        <v>11</v>
      </c>
      <c r="B22" s="658" t="s">
        <v>1031</v>
      </c>
      <c r="C22" s="659">
        <v>1417</v>
      </c>
      <c r="D22" s="659">
        <v>84821</v>
      </c>
      <c r="E22" s="659">
        <v>1417</v>
      </c>
      <c r="F22" s="659">
        <v>84821</v>
      </c>
      <c r="G22" s="661">
        <v>562</v>
      </c>
      <c r="H22" s="661">
        <v>35021</v>
      </c>
      <c r="I22" s="661">
        <v>1419</v>
      </c>
      <c r="J22" s="661">
        <v>69037</v>
      </c>
      <c r="K22" s="660">
        <v>702</v>
      </c>
      <c r="L22" s="660">
        <v>495</v>
      </c>
    </row>
    <row r="23" spans="1:12" ht="15.75" x14ac:dyDescent="0.25">
      <c r="A23" s="499">
        <v>12</v>
      </c>
      <c r="B23" s="658" t="s">
        <v>1032</v>
      </c>
      <c r="C23" s="659">
        <v>2561</v>
      </c>
      <c r="D23" s="659">
        <v>215864</v>
      </c>
      <c r="E23" s="659">
        <v>2561</v>
      </c>
      <c r="F23" s="659">
        <v>215864</v>
      </c>
      <c r="G23" s="661">
        <v>1115</v>
      </c>
      <c r="H23" s="661">
        <v>88618</v>
      </c>
      <c r="I23" s="661">
        <v>2323</v>
      </c>
      <c r="J23" s="661">
        <v>132676</v>
      </c>
      <c r="K23" s="660">
        <v>1106</v>
      </c>
      <c r="L23" s="660">
        <v>1106</v>
      </c>
    </row>
    <row r="24" spans="1:12" ht="15.75" x14ac:dyDescent="0.25">
      <c r="A24" s="499">
        <v>13</v>
      </c>
      <c r="B24" s="658" t="s">
        <v>1033</v>
      </c>
      <c r="C24" s="659">
        <v>2388</v>
      </c>
      <c r="D24" s="659">
        <v>127820</v>
      </c>
      <c r="E24" s="659">
        <v>2388</v>
      </c>
      <c r="F24" s="659">
        <v>127820</v>
      </c>
      <c r="G24" s="661">
        <v>1057</v>
      </c>
      <c r="H24" s="661">
        <v>55416</v>
      </c>
      <c r="I24" s="661">
        <v>2200</v>
      </c>
      <c r="J24" s="661">
        <v>97173</v>
      </c>
      <c r="K24" s="660">
        <v>1513</v>
      </c>
      <c r="L24" s="660">
        <v>1376</v>
      </c>
    </row>
    <row r="25" spans="1:12" ht="15.75" x14ac:dyDescent="0.25">
      <c r="A25" s="499">
        <v>14</v>
      </c>
      <c r="B25" s="658" t="s">
        <v>1034</v>
      </c>
      <c r="C25" s="659">
        <v>2352</v>
      </c>
      <c r="D25" s="659">
        <v>119597</v>
      </c>
      <c r="E25" s="659">
        <v>2352</v>
      </c>
      <c r="F25" s="659">
        <v>119597</v>
      </c>
      <c r="G25" s="661">
        <v>583</v>
      </c>
      <c r="H25" s="661">
        <v>31748</v>
      </c>
      <c r="I25" s="661">
        <v>2167</v>
      </c>
      <c r="J25" s="661">
        <v>84450</v>
      </c>
      <c r="K25" s="660">
        <v>868</v>
      </c>
      <c r="L25" s="660">
        <v>813</v>
      </c>
    </row>
    <row r="26" spans="1:12" ht="15.75" x14ac:dyDescent="0.25">
      <c r="A26" s="499">
        <v>15</v>
      </c>
      <c r="B26" s="658" t="s">
        <v>1035</v>
      </c>
      <c r="C26" s="659">
        <v>1447</v>
      </c>
      <c r="D26" s="659">
        <v>140479</v>
      </c>
      <c r="E26" s="659">
        <v>1447</v>
      </c>
      <c r="F26" s="659">
        <v>140479</v>
      </c>
      <c r="G26" s="661">
        <v>377</v>
      </c>
      <c r="H26" s="661">
        <v>30834</v>
      </c>
      <c r="I26" s="661">
        <v>1426</v>
      </c>
      <c r="J26" s="661">
        <v>95411</v>
      </c>
      <c r="K26" s="660">
        <v>629</v>
      </c>
      <c r="L26" s="660">
        <v>0</v>
      </c>
    </row>
    <row r="27" spans="1:12" ht="15.75" x14ac:dyDescent="0.25">
      <c r="A27" s="499">
        <v>16</v>
      </c>
      <c r="B27" s="658" t="s">
        <v>1036</v>
      </c>
      <c r="C27" s="659">
        <v>1687</v>
      </c>
      <c r="D27" s="659">
        <v>113853</v>
      </c>
      <c r="E27" s="659">
        <v>1687</v>
      </c>
      <c r="F27" s="659">
        <v>113853</v>
      </c>
      <c r="G27" s="661">
        <v>625</v>
      </c>
      <c r="H27" s="661">
        <v>28971</v>
      </c>
      <c r="I27" s="661">
        <v>1739</v>
      </c>
      <c r="J27" s="661">
        <v>78738</v>
      </c>
      <c r="K27" s="660">
        <v>742</v>
      </c>
      <c r="L27" s="660">
        <v>557</v>
      </c>
    </row>
    <row r="28" spans="1:12" ht="15.75" x14ac:dyDescent="0.25">
      <c r="A28" s="499">
        <v>17</v>
      </c>
      <c r="B28" s="658" t="s">
        <v>1037</v>
      </c>
      <c r="C28" s="659">
        <v>2100</v>
      </c>
      <c r="D28" s="659">
        <v>146048</v>
      </c>
      <c r="E28" s="659">
        <v>2100</v>
      </c>
      <c r="F28" s="659">
        <v>146048</v>
      </c>
      <c r="G28" s="661">
        <v>619</v>
      </c>
      <c r="H28" s="661">
        <v>42061</v>
      </c>
      <c r="I28" s="661">
        <v>1998</v>
      </c>
      <c r="J28" s="661">
        <v>111972</v>
      </c>
      <c r="K28" s="660">
        <v>1930</v>
      </c>
      <c r="L28" s="660">
        <v>1774</v>
      </c>
    </row>
    <row r="29" spans="1:12" ht="15.75" x14ac:dyDescent="0.25">
      <c r="A29" s="499">
        <v>18</v>
      </c>
      <c r="B29" s="658" t="s">
        <v>1038</v>
      </c>
      <c r="C29" s="659">
        <v>1535</v>
      </c>
      <c r="D29" s="659">
        <v>75295</v>
      </c>
      <c r="E29" s="659">
        <v>1535</v>
      </c>
      <c r="F29" s="659">
        <v>75295</v>
      </c>
      <c r="G29" s="661">
        <v>178</v>
      </c>
      <c r="H29" s="661">
        <v>9573</v>
      </c>
      <c r="I29" s="661">
        <v>1379</v>
      </c>
      <c r="J29" s="661">
        <v>65267</v>
      </c>
      <c r="K29" s="660">
        <v>1038</v>
      </c>
      <c r="L29" s="660">
        <v>912</v>
      </c>
    </row>
    <row r="30" spans="1:12" ht="15.75" x14ac:dyDescent="0.25">
      <c r="A30" s="499">
        <v>19</v>
      </c>
      <c r="B30" s="658" t="s">
        <v>1039</v>
      </c>
      <c r="C30" s="659">
        <v>1976</v>
      </c>
      <c r="D30" s="659">
        <v>156388</v>
      </c>
      <c r="E30" s="659">
        <v>1976</v>
      </c>
      <c r="F30" s="659">
        <v>156388</v>
      </c>
      <c r="G30" s="661">
        <v>413</v>
      </c>
      <c r="H30" s="661">
        <v>41143</v>
      </c>
      <c r="I30" s="661">
        <v>1727</v>
      </c>
      <c r="J30" s="661">
        <v>94307</v>
      </c>
      <c r="K30" s="660">
        <v>657</v>
      </c>
      <c r="L30" s="660">
        <v>435</v>
      </c>
    </row>
    <row r="31" spans="1:12" ht="15.75" x14ac:dyDescent="0.25">
      <c r="A31" s="499">
        <v>20</v>
      </c>
      <c r="B31" s="658" t="s">
        <v>1040</v>
      </c>
      <c r="C31" s="659">
        <v>918</v>
      </c>
      <c r="D31" s="659">
        <v>110383</v>
      </c>
      <c r="E31" s="659">
        <v>918</v>
      </c>
      <c r="F31" s="659">
        <v>110383</v>
      </c>
      <c r="G31" s="661">
        <v>337</v>
      </c>
      <c r="H31" s="661">
        <v>37394</v>
      </c>
      <c r="I31" s="661">
        <v>937</v>
      </c>
      <c r="J31" s="661">
        <v>83479</v>
      </c>
      <c r="K31" s="660">
        <v>409</v>
      </c>
      <c r="L31" s="660">
        <v>0</v>
      </c>
    </row>
    <row r="32" spans="1:12" ht="15.75" x14ac:dyDescent="0.25">
      <c r="A32" s="499">
        <v>21</v>
      </c>
      <c r="B32" s="658" t="s">
        <v>1041</v>
      </c>
      <c r="C32" s="659">
        <v>561</v>
      </c>
      <c r="D32" s="659">
        <v>27659</v>
      </c>
      <c r="E32" s="659">
        <v>561</v>
      </c>
      <c r="F32" s="659">
        <v>27659</v>
      </c>
      <c r="G32" s="661">
        <v>135</v>
      </c>
      <c r="H32" s="661">
        <v>6530</v>
      </c>
      <c r="I32" s="661">
        <v>548</v>
      </c>
      <c r="J32" s="661">
        <v>21206</v>
      </c>
      <c r="K32" s="660">
        <v>439</v>
      </c>
      <c r="L32" s="660">
        <v>405</v>
      </c>
    </row>
    <row r="33" spans="1:12" ht="15.75" x14ac:dyDescent="0.25">
      <c r="A33" s="499">
        <v>22</v>
      </c>
      <c r="B33" s="658" t="s">
        <v>1042</v>
      </c>
      <c r="C33" s="659">
        <v>3143</v>
      </c>
      <c r="D33" s="659">
        <v>168648</v>
      </c>
      <c r="E33" s="659">
        <v>3143</v>
      </c>
      <c r="F33" s="659">
        <v>168648</v>
      </c>
      <c r="G33" s="661">
        <v>1226</v>
      </c>
      <c r="H33" s="661">
        <v>65718</v>
      </c>
      <c r="I33" s="661">
        <v>2893</v>
      </c>
      <c r="J33" s="661">
        <v>132705</v>
      </c>
      <c r="K33" s="660">
        <v>2104</v>
      </c>
      <c r="L33" s="660">
        <v>1629</v>
      </c>
    </row>
    <row r="34" spans="1:12" ht="15.75" x14ac:dyDescent="0.25">
      <c r="A34" s="499">
        <v>23</v>
      </c>
      <c r="B34" s="658" t="s">
        <v>1043</v>
      </c>
      <c r="C34" s="659">
        <v>1487</v>
      </c>
      <c r="D34" s="659">
        <v>221698</v>
      </c>
      <c r="E34" s="659">
        <v>1487</v>
      </c>
      <c r="F34" s="659">
        <v>221698</v>
      </c>
      <c r="G34" s="661">
        <v>755</v>
      </c>
      <c r="H34" s="661">
        <v>139424</v>
      </c>
      <c r="I34" s="661">
        <v>1275</v>
      </c>
      <c r="J34" s="661">
        <v>160765</v>
      </c>
      <c r="K34" s="660">
        <v>2144</v>
      </c>
      <c r="L34" s="660">
        <v>1328</v>
      </c>
    </row>
    <row r="35" spans="1:12" ht="15.75" x14ac:dyDescent="0.25">
      <c r="A35" s="499">
        <v>24</v>
      </c>
      <c r="B35" s="658" t="s">
        <v>1044</v>
      </c>
      <c r="C35" s="659">
        <v>2755</v>
      </c>
      <c r="D35" s="659">
        <v>234302</v>
      </c>
      <c r="E35" s="659">
        <v>2755</v>
      </c>
      <c r="F35" s="659">
        <v>234302</v>
      </c>
      <c r="G35" s="661">
        <v>1209</v>
      </c>
      <c r="H35" s="661">
        <v>93310</v>
      </c>
      <c r="I35" s="661">
        <v>2647</v>
      </c>
      <c r="J35" s="661">
        <v>176898</v>
      </c>
      <c r="K35" s="660">
        <v>1834</v>
      </c>
      <c r="L35" s="660">
        <v>1834</v>
      </c>
    </row>
    <row r="36" spans="1:12" ht="15.75" x14ac:dyDescent="0.25">
      <c r="A36" s="499">
        <v>25</v>
      </c>
      <c r="B36" s="658" t="s">
        <v>1045</v>
      </c>
      <c r="C36" s="659">
        <v>581</v>
      </c>
      <c r="D36" s="659">
        <v>28761</v>
      </c>
      <c r="E36" s="659">
        <v>581</v>
      </c>
      <c r="F36" s="659">
        <v>28761</v>
      </c>
      <c r="G36" s="661">
        <v>112</v>
      </c>
      <c r="H36" s="661">
        <v>4493</v>
      </c>
      <c r="I36" s="661">
        <v>906</v>
      </c>
      <c r="J36" s="661">
        <v>31196</v>
      </c>
      <c r="K36" s="660">
        <v>317</v>
      </c>
      <c r="L36" s="660">
        <v>293</v>
      </c>
    </row>
    <row r="37" spans="1:12" ht="15.75" x14ac:dyDescent="0.25">
      <c r="A37" s="499">
        <v>26</v>
      </c>
      <c r="B37" s="658" t="s">
        <v>1046</v>
      </c>
      <c r="C37" s="659">
        <v>1969</v>
      </c>
      <c r="D37" s="659">
        <v>129104</v>
      </c>
      <c r="E37" s="659">
        <v>1969</v>
      </c>
      <c r="F37" s="659">
        <v>129104</v>
      </c>
      <c r="G37" s="661">
        <v>1195</v>
      </c>
      <c r="H37" s="661">
        <v>56133</v>
      </c>
      <c r="I37" s="661">
        <v>1913</v>
      </c>
      <c r="J37" s="661">
        <v>93274</v>
      </c>
      <c r="K37" s="660">
        <v>1202</v>
      </c>
      <c r="L37" s="660">
        <v>1074</v>
      </c>
    </row>
    <row r="38" spans="1:12" ht="15.75" x14ac:dyDescent="0.25">
      <c r="A38" s="499">
        <v>27</v>
      </c>
      <c r="B38" s="658" t="s">
        <v>1047</v>
      </c>
      <c r="C38" s="659">
        <v>1907</v>
      </c>
      <c r="D38" s="659">
        <v>120511</v>
      </c>
      <c r="E38" s="659">
        <v>1907</v>
      </c>
      <c r="F38" s="659">
        <v>120511</v>
      </c>
      <c r="G38" s="661">
        <v>846</v>
      </c>
      <c r="H38" s="661">
        <v>44384</v>
      </c>
      <c r="I38" s="661">
        <v>1835</v>
      </c>
      <c r="J38" s="661">
        <v>84931</v>
      </c>
      <c r="K38" s="660">
        <v>2228</v>
      </c>
      <c r="L38" s="660">
        <v>901</v>
      </c>
    </row>
    <row r="39" spans="1:12" ht="15.75" x14ac:dyDescent="0.25">
      <c r="A39" s="497" t="s">
        <v>18</v>
      </c>
      <c r="B39" s="497"/>
      <c r="C39" s="659">
        <v>45973</v>
      </c>
      <c r="D39" s="659">
        <v>3497599</v>
      </c>
      <c r="E39" s="659">
        <v>45973</v>
      </c>
      <c r="F39" s="659">
        <v>3497599</v>
      </c>
      <c r="G39" s="662">
        <v>16918</v>
      </c>
      <c r="H39" s="662">
        <v>1256994</v>
      </c>
      <c r="I39" s="662">
        <v>43890</v>
      </c>
      <c r="J39" s="662">
        <v>2584503</v>
      </c>
      <c r="K39" s="499">
        <f>SUM(K12:K38)</f>
        <v>33767</v>
      </c>
      <c r="L39" s="499">
        <f>SUM(L12:L38)</f>
        <v>25039</v>
      </c>
    </row>
    <row r="40" spans="1:12" x14ac:dyDescent="0.2">
      <c r="A40" s="656"/>
      <c r="B40" s="656"/>
      <c r="C40" s="494"/>
      <c r="D40" s="494"/>
      <c r="E40" s="494"/>
      <c r="F40" s="494"/>
      <c r="G40" s="494"/>
      <c r="H40" s="494"/>
      <c r="I40" s="494"/>
      <c r="J40" s="494"/>
      <c r="K40" s="494"/>
      <c r="L40" s="494"/>
    </row>
    <row r="41" spans="1:12" x14ac:dyDescent="0.2">
      <c r="A41" s="494"/>
      <c r="B41" s="494"/>
      <c r="C41" s="494"/>
      <c r="D41" s="494"/>
      <c r="E41" s="494"/>
      <c r="F41" s="494"/>
      <c r="K41" s="494"/>
      <c r="L41" s="494"/>
    </row>
    <row r="42" spans="1:12" x14ac:dyDescent="0.2">
      <c r="A42" s="494"/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</row>
    <row r="44" spans="1:12" x14ac:dyDescent="0.2">
      <c r="A44" s="1039"/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</row>
    <row r="45" spans="1:12" x14ac:dyDescent="0.2">
      <c r="A45" s="494"/>
      <c r="B45" s="494"/>
      <c r="C45" s="494"/>
      <c r="D45" s="494"/>
      <c r="E45" s="494"/>
      <c r="F45" s="494"/>
      <c r="G45" s="494"/>
      <c r="H45" s="810" t="s">
        <v>13</v>
      </c>
      <c r="I45" s="810"/>
      <c r="J45" s="810"/>
      <c r="K45" s="810"/>
      <c r="L45" s="810"/>
    </row>
    <row r="46" spans="1:12" ht="15.75" x14ac:dyDescent="0.25">
      <c r="A46" s="500"/>
      <c r="B46" s="500"/>
      <c r="C46" s="500"/>
      <c r="D46" s="500"/>
      <c r="E46" s="500"/>
      <c r="F46" s="500"/>
      <c r="G46" s="500"/>
      <c r="H46" s="810" t="s">
        <v>14</v>
      </c>
      <c r="I46" s="810"/>
      <c r="J46" s="810"/>
      <c r="K46" s="810"/>
      <c r="L46" s="810"/>
    </row>
    <row r="47" spans="1:12" ht="15.75" customHeight="1" x14ac:dyDescent="0.2">
      <c r="A47" s="503"/>
      <c r="B47" s="503"/>
      <c r="C47" s="503"/>
      <c r="D47" s="503"/>
      <c r="E47" s="503"/>
      <c r="F47" s="503"/>
      <c r="G47" s="503"/>
      <c r="H47" s="810" t="s">
        <v>918</v>
      </c>
      <c r="I47" s="810"/>
      <c r="J47" s="810"/>
      <c r="K47" s="810"/>
      <c r="L47" s="810"/>
    </row>
    <row r="48" spans="1:12" ht="15.6" customHeight="1" x14ac:dyDescent="0.25">
      <c r="A48" s="492" t="s">
        <v>12</v>
      </c>
      <c r="B48" s="503"/>
      <c r="C48" s="503"/>
      <c r="D48" s="503"/>
      <c r="E48" s="503"/>
      <c r="F48" s="503"/>
      <c r="G48" s="503"/>
      <c r="H48" s="657"/>
      <c r="I48" s="207" t="s">
        <v>82</v>
      </c>
      <c r="J48" s="207"/>
      <c r="K48" s="207"/>
      <c r="L48" s="207"/>
    </row>
    <row r="49" spans="1:12" x14ac:dyDescent="0.2">
      <c r="A49" s="494"/>
      <c r="B49" s="494"/>
      <c r="C49" s="494"/>
      <c r="D49" s="494"/>
      <c r="E49" s="494"/>
      <c r="F49" s="494"/>
      <c r="I49" s="508"/>
      <c r="J49" s="508"/>
      <c r="K49" s="508"/>
      <c r="L49" s="508"/>
    </row>
  </sheetData>
  <mergeCells count="18">
    <mergeCell ref="J8:L8"/>
    <mergeCell ref="K1:L1"/>
    <mergeCell ref="A2:H2"/>
    <mergeCell ref="A3:H3"/>
    <mergeCell ref="A5:L5"/>
    <mergeCell ref="H45:L45"/>
    <mergeCell ref="H46:L46"/>
    <mergeCell ref="H47:L47"/>
    <mergeCell ref="I9:J9"/>
    <mergeCell ref="K9:L9"/>
    <mergeCell ref="A44:H44"/>
    <mergeCell ref="I44:L44"/>
    <mergeCell ref="A9:A10"/>
    <mergeCell ref="B9:B10"/>
    <mergeCell ref="C9:C10"/>
    <mergeCell ref="D9:D10"/>
    <mergeCell ref="E9:F9"/>
    <mergeCell ref="G9:H9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1:G46"/>
  <sheetViews>
    <sheetView zoomScaleSheetLayoutView="100" workbookViewId="0">
      <selection activeCell="A46" sqref="A46"/>
    </sheetView>
  </sheetViews>
  <sheetFormatPr defaultColWidth="8.85546875" defaultRowHeight="12.75" x14ac:dyDescent="0.2"/>
  <cols>
    <col min="1" max="1" width="11.140625" style="87" customWidth="1"/>
    <col min="2" max="2" width="19.140625" style="87" customWidth="1"/>
    <col min="3" max="3" width="20.5703125" style="87" customWidth="1"/>
    <col min="4" max="4" width="22.28515625" style="87" customWidth="1"/>
    <col min="5" max="5" width="25.42578125" style="87" customWidth="1"/>
    <col min="6" max="6" width="27.42578125" style="87" customWidth="1"/>
    <col min="7" max="16384" width="8.85546875" style="87"/>
  </cols>
  <sheetData>
    <row r="1" spans="1:7" ht="12.75" customHeight="1" x14ac:dyDescent="0.2">
      <c r="D1" s="267"/>
      <c r="E1" s="267"/>
      <c r="F1" s="268" t="s">
        <v>97</v>
      </c>
    </row>
    <row r="2" spans="1:7" ht="15" customHeight="1" x14ac:dyDescent="0.25">
      <c r="B2" s="1046" t="s">
        <v>0</v>
      </c>
      <c r="C2" s="1046"/>
      <c r="D2" s="1046"/>
      <c r="E2" s="1046"/>
      <c r="F2" s="1046"/>
    </row>
    <row r="3" spans="1:7" ht="20.25" x14ac:dyDescent="0.3">
      <c r="B3" s="900" t="s">
        <v>738</v>
      </c>
      <c r="C3" s="900"/>
      <c r="D3" s="900"/>
      <c r="E3" s="900"/>
      <c r="F3" s="900"/>
    </row>
    <row r="4" spans="1:7" ht="11.25" customHeight="1" x14ac:dyDescent="0.2"/>
    <row r="5" spans="1:7" x14ac:dyDescent="0.2">
      <c r="A5" s="1047" t="s">
        <v>441</v>
      </c>
      <c r="B5" s="1047"/>
      <c r="C5" s="1047"/>
      <c r="D5" s="1047"/>
      <c r="E5" s="1047"/>
      <c r="F5" s="1047"/>
    </row>
    <row r="6" spans="1:7" ht="8.4499999999999993" customHeight="1" x14ac:dyDescent="0.25">
      <c r="A6" s="89"/>
      <c r="B6" s="89"/>
      <c r="C6" s="89"/>
      <c r="D6" s="89"/>
      <c r="E6" s="89"/>
      <c r="F6" s="89"/>
    </row>
    <row r="7" spans="1:7" ht="18" customHeight="1" x14ac:dyDescent="0.3">
      <c r="A7" s="197" t="s">
        <v>917</v>
      </c>
      <c r="B7" s="197" t="s">
        <v>916</v>
      </c>
    </row>
    <row r="8" spans="1:7" ht="18" hidden="1" customHeight="1" x14ac:dyDescent="0.25">
      <c r="A8" s="90" t="s">
        <v>1</v>
      </c>
    </row>
    <row r="9" spans="1:7" ht="30.6" customHeight="1" x14ac:dyDescent="0.2">
      <c r="A9" s="1051" t="s">
        <v>2</v>
      </c>
      <c r="B9" s="1051" t="s">
        <v>3</v>
      </c>
      <c r="C9" s="1048" t="s">
        <v>437</v>
      </c>
      <c r="D9" s="1049"/>
      <c r="E9" s="1050" t="s">
        <v>440</v>
      </c>
      <c r="F9" s="1050"/>
    </row>
    <row r="10" spans="1:7" s="97" customFormat="1" ht="25.5" x14ac:dyDescent="0.2">
      <c r="A10" s="1051"/>
      <c r="B10" s="1051"/>
      <c r="C10" s="92" t="s">
        <v>438</v>
      </c>
      <c r="D10" s="92" t="s">
        <v>439</v>
      </c>
      <c r="E10" s="92" t="s">
        <v>438</v>
      </c>
      <c r="F10" s="92" t="s">
        <v>439</v>
      </c>
      <c r="G10" s="115"/>
    </row>
    <row r="11" spans="1:7" s="156" customFormat="1" x14ac:dyDescent="0.2">
      <c r="A11" s="304">
        <v>1</v>
      </c>
      <c r="B11" s="304">
        <v>2</v>
      </c>
      <c r="C11" s="304">
        <v>3</v>
      </c>
      <c r="D11" s="304">
        <v>4</v>
      </c>
      <c r="E11" s="304">
        <v>5</v>
      </c>
      <c r="F11" s="304">
        <v>6</v>
      </c>
    </row>
    <row r="12" spans="1:7" s="156" customFormat="1" ht="15.75" x14ac:dyDescent="0.2">
      <c r="A12" s="93">
        <v>1</v>
      </c>
      <c r="B12" s="349" t="s">
        <v>890</v>
      </c>
      <c r="C12" s="350">
        <v>826</v>
      </c>
      <c r="D12" s="350">
        <v>826</v>
      </c>
      <c r="E12" s="350">
        <v>413</v>
      </c>
      <c r="F12" s="350">
        <v>413</v>
      </c>
    </row>
    <row r="13" spans="1:7" s="156" customFormat="1" ht="15.75" x14ac:dyDescent="0.2">
      <c r="A13" s="93">
        <v>2</v>
      </c>
      <c r="B13" s="349" t="s">
        <v>891</v>
      </c>
      <c r="C13" s="350">
        <v>1192</v>
      </c>
      <c r="D13" s="350">
        <v>1192</v>
      </c>
      <c r="E13" s="350">
        <v>638</v>
      </c>
      <c r="F13" s="350">
        <v>638</v>
      </c>
    </row>
    <row r="14" spans="1:7" s="156" customFormat="1" ht="15.75" x14ac:dyDescent="0.2">
      <c r="A14" s="93">
        <v>3</v>
      </c>
      <c r="B14" s="349" t="s">
        <v>892</v>
      </c>
      <c r="C14" s="350">
        <v>1393</v>
      </c>
      <c r="D14" s="350">
        <v>1393</v>
      </c>
      <c r="E14" s="350">
        <v>571</v>
      </c>
      <c r="F14" s="350">
        <v>571</v>
      </c>
    </row>
    <row r="15" spans="1:7" s="156" customFormat="1" ht="15.75" x14ac:dyDescent="0.2">
      <c r="A15" s="93">
        <v>4</v>
      </c>
      <c r="B15" s="349" t="s">
        <v>893</v>
      </c>
      <c r="C15" s="350">
        <v>1545</v>
      </c>
      <c r="D15" s="350">
        <v>1545</v>
      </c>
      <c r="E15" s="350">
        <v>649</v>
      </c>
      <c r="F15" s="350">
        <v>649</v>
      </c>
    </row>
    <row r="16" spans="1:7" s="156" customFormat="1" ht="15.75" x14ac:dyDescent="0.2">
      <c r="A16" s="93">
        <v>5</v>
      </c>
      <c r="B16" s="349" t="s">
        <v>894</v>
      </c>
      <c r="C16" s="350">
        <v>745</v>
      </c>
      <c r="D16" s="350">
        <v>745</v>
      </c>
      <c r="E16" s="350">
        <v>386</v>
      </c>
      <c r="F16" s="350">
        <v>386</v>
      </c>
    </row>
    <row r="17" spans="1:6" s="156" customFormat="1" ht="15.75" x14ac:dyDescent="0.2">
      <c r="A17" s="93">
        <v>6</v>
      </c>
      <c r="B17" s="349" t="s">
        <v>895</v>
      </c>
      <c r="C17" s="350">
        <v>693</v>
      </c>
      <c r="D17" s="350">
        <v>693</v>
      </c>
      <c r="E17" s="350">
        <v>204</v>
      </c>
      <c r="F17" s="350">
        <v>204</v>
      </c>
    </row>
    <row r="18" spans="1:6" s="156" customFormat="1" ht="15.75" x14ac:dyDescent="0.2">
      <c r="A18" s="93">
        <v>7</v>
      </c>
      <c r="B18" s="349" t="s">
        <v>896</v>
      </c>
      <c r="C18" s="350">
        <v>1714</v>
      </c>
      <c r="D18" s="350">
        <v>1714</v>
      </c>
      <c r="E18" s="350">
        <v>782</v>
      </c>
      <c r="F18" s="350">
        <v>782</v>
      </c>
    </row>
    <row r="19" spans="1:6" s="156" customFormat="1" ht="15.75" x14ac:dyDescent="0.2">
      <c r="A19" s="93">
        <v>8</v>
      </c>
      <c r="B19" s="349" t="s">
        <v>897</v>
      </c>
      <c r="C19" s="350">
        <v>647</v>
      </c>
      <c r="D19" s="350">
        <v>647</v>
      </c>
      <c r="E19" s="350">
        <v>237</v>
      </c>
      <c r="F19" s="350">
        <v>237</v>
      </c>
    </row>
    <row r="20" spans="1:6" s="156" customFormat="1" ht="15.75" x14ac:dyDescent="0.2">
      <c r="A20" s="93">
        <v>9</v>
      </c>
      <c r="B20" s="349" t="s">
        <v>898</v>
      </c>
      <c r="C20" s="350">
        <v>884</v>
      </c>
      <c r="D20" s="350">
        <v>884</v>
      </c>
      <c r="E20" s="350">
        <v>452</v>
      </c>
      <c r="F20" s="350">
        <v>452</v>
      </c>
    </row>
    <row r="21" spans="1:6" s="156" customFormat="1" ht="15.75" x14ac:dyDescent="0.2">
      <c r="A21" s="93">
        <v>10</v>
      </c>
      <c r="B21" s="349" t="s">
        <v>899</v>
      </c>
      <c r="C21" s="350">
        <v>612</v>
      </c>
      <c r="D21" s="350">
        <v>612</v>
      </c>
      <c r="E21" s="350">
        <v>361</v>
      </c>
      <c r="F21" s="350">
        <v>361</v>
      </c>
    </row>
    <row r="22" spans="1:6" s="156" customFormat="1" ht="15.75" x14ac:dyDescent="0.2">
      <c r="A22" s="93">
        <v>11</v>
      </c>
      <c r="B22" s="349" t="s">
        <v>900</v>
      </c>
      <c r="C22" s="350">
        <v>982</v>
      </c>
      <c r="D22" s="350">
        <v>982</v>
      </c>
      <c r="E22" s="350">
        <v>450</v>
      </c>
      <c r="F22" s="350">
        <v>450</v>
      </c>
    </row>
    <row r="23" spans="1:6" ht="15.75" x14ac:dyDescent="0.2">
      <c r="A23" s="93">
        <v>12</v>
      </c>
      <c r="B23" s="349" t="s">
        <v>901</v>
      </c>
      <c r="C23" s="350">
        <v>1553</v>
      </c>
      <c r="D23" s="350">
        <v>1553</v>
      </c>
      <c r="E23" s="350">
        <v>791</v>
      </c>
      <c r="F23" s="350">
        <v>791</v>
      </c>
    </row>
    <row r="24" spans="1:6" ht="15.75" x14ac:dyDescent="0.2">
      <c r="A24" s="93">
        <v>13</v>
      </c>
      <c r="B24" s="349" t="s">
        <v>902</v>
      </c>
      <c r="C24" s="350">
        <v>1747</v>
      </c>
      <c r="D24" s="350">
        <v>1747</v>
      </c>
      <c r="E24" s="350">
        <v>521</v>
      </c>
      <c r="F24" s="350">
        <v>521</v>
      </c>
    </row>
    <row r="25" spans="1:6" ht="15.75" x14ac:dyDescent="0.2">
      <c r="A25" s="93">
        <v>14</v>
      </c>
      <c r="B25" s="349" t="s">
        <v>903</v>
      </c>
      <c r="C25" s="350">
        <v>1597</v>
      </c>
      <c r="D25" s="350">
        <v>1597</v>
      </c>
      <c r="E25" s="350">
        <v>615</v>
      </c>
      <c r="F25" s="350">
        <v>615</v>
      </c>
    </row>
    <row r="26" spans="1:6" ht="15.75" x14ac:dyDescent="0.2">
      <c r="A26" s="93">
        <v>15</v>
      </c>
      <c r="B26" s="349" t="s">
        <v>904</v>
      </c>
      <c r="C26" s="350">
        <v>986</v>
      </c>
      <c r="D26" s="350">
        <v>986</v>
      </c>
      <c r="E26" s="350">
        <v>496</v>
      </c>
      <c r="F26" s="350">
        <v>496</v>
      </c>
    </row>
    <row r="27" spans="1:6" ht="15.75" x14ac:dyDescent="0.2">
      <c r="A27" s="93">
        <v>16</v>
      </c>
      <c r="B27" s="349" t="s">
        <v>905</v>
      </c>
      <c r="C27" s="350">
        <v>1229</v>
      </c>
      <c r="D27" s="350">
        <v>1229</v>
      </c>
      <c r="E27" s="350">
        <v>604</v>
      </c>
      <c r="F27" s="350">
        <v>604</v>
      </c>
    </row>
    <row r="28" spans="1:6" ht="15.75" x14ac:dyDescent="0.2">
      <c r="A28" s="93">
        <v>17</v>
      </c>
      <c r="B28" s="349" t="s">
        <v>906</v>
      </c>
      <c r="C28" s="350">
        <v>1494</v>
      </c>
      <c r="D28" s="350">
        <v>1494</v>
      </c>
      <c r="E28" s="350">
        <v>525</v>
      </c>
      <c r="F28" s="350">
        <v>525</v>
      </c>
    </row>
    <row r="29" spans="1:6" ht="15.75" x14ac:dyDescent="0.2">
      <c r="A29" s="93">
        <v>18</v>
      </c>
      <c r="B29" s="349" t="s">
        <v>907</v>
      </c>
      <c r="C29" s="350">
        <v>967</v>
      </c>
      <c r="D29" s="350">
        <v>967</v>
      </c>
      <c r="E29" s="350">
        <v>419</v>
      </c>
      <c r="F29" s="350">
        <v>419</v>
      </c>
    </row>
    <row r="30" spans="1:6" ht="15.75" x14ac:dyDescent="0.2">
      <c r="A30" s="93">
        <v>19</v>
      </c>
      <c r="B30" s="349" t="s">
        <v>908</v>
      </c>
      <c r="C30" s="350">
        <v>1307</v>
      </c>
      <c r="D30" s="350">
        <v>1307</v>
      </c>
      <c r="E30" s="350">
        <v>502</v>
      </c>
      <c r="F30" s="350">
        <v>502</v>
      </c>
    </row>
    <row r="31" spans="1:6" ht="15.75" x14ac:dyDescent="0.2">
      <c r="A31" s="93">
        <v>20</v>
      </c>
      <c r="B31" s="349" t="s">
        <v>909</v>
      </c>
      <c r="C31" s="350">
        <v>666</v>
      </c>
      <c r="D31" s="350">
        <v>666</v>
      </c>
      <c r="E31" s="350">
        <v>275</v>
      </c>
      <c r="F31" s="350">
        <v>275</v>
      </c>
    </row>
    <row r="32" spans="1:6" ht="15.75" x14ac:dyDescent="0.2">
      <c r="A32" s="93">
        <v>21</v>
      </c>
      <c r="B32" s="349" t="s">
        <v>910</v>
      </c>
      <c r="C32" s="350">
        <v>422</v>
      </c>
      <c r="D32" s="350">
        <v>422</v>
      </c>
      <c r="E32" s="350">
        <v>146</v>
      </c>
      <c r="F32" s="350">
        <v>146</v>
      </c>
    </row>
    <row r="33" spans="1:6" ht="15.75" x14ac:dyDescent="0.2">
      <c r="A33" s="93">
        <v>22</v>
      </c>
      <c r="B33" s="349" t="s">
        <v>911</v>
      </c>
      <c r="C33" s="350">
        <v>1986</v>
      </c>
      <c r="D33" s="350">
        <v>1986</v>
      </c>
      <c r="E33" s="350">
        <v>919</v>
      </c>
      <c r="F33" s="350">
        <v>919</v>
      </c>
    </row>
    <row r="34" spans="1:6" ht="15.75" x14ac:dyDescent="0.2">
      <c r="A34" s="93">
        <v>23</v>
      </c>
      <c r="B34" s="349" t="s">
        <v>912</v>
      </c>
      <c r="C34" s="350">
        <v>797</v>
      </c>
      <c r="D34" s="350">
        <v>797</v>
      </c>
      <c r="E34" s="350">
        <v>482</v>
      </c>
      <c r="F34" s="350">
        <v>482</v>
      </c>
    </row>
    <row r="35" spans="1:6" ht="15.75" x14ac:dyDescent="0.2">
      <c r="A35" s="93">
        <v>24</v>
      </c>
      <c r="B35" s="349" t="s">
        <v>913</v>
      </c>
      <c r="C35" s="350">
        <v>1860</v>
      </c>
      <c r="D35" s="350">
        <v>1860</v>
      </c>
      <c r="E35" s="350">
        <v>795</v>
      </c>
      <c r="F35" s="350">
        <v>795</v>
      </c>
    </row>
    <row r="36" spans="1:6" ht="15.75" x14ac:dyDescent="0.2">
      <c r="A36" s="93">
        <v>25</v>
      </c>
      <c r="B36" s="349" t="s">
        <v>919</v>
      </c>
      <c r="C36" s="350">
        <v>1353</v>
      </c>
      <c r="D36" s="350">
        <v>1353</v>
      </c>
      <c r="E36" s="350">
        <v>576</v>
      </c>
      <c r="F36" s="350">
        <v>576</v>
      </c>
    </row>
    <row r="37" spans="1:6" ht="15.75" x14ac:dyDescent="0.2">
      <c r="A37" s="93">
        <v>26</v>
      </c>
      <c r="B37" s="349" t="s">
        <v>914</v>
      </c>
      <c r="C37" s="350">
        <v>788</v>
      </c>
      <c r="D37" s="350">
        <v>788</v>
      </c>
      <c r="E37" s="350">
        <v>216</v>
      </c>
      <c r="F37" s="350">
        <v>216</v>
      </c>
    </row>
    <row r="38" spans="1:6" ht="15.75" x14ac:dyDescent="0.2">
      <c r="A38" s="93">
        <v>27</v>
      </c>
      <c r="B38" s="349" t="s">
        <v>915</v>
      </c>
      <c r="C38" s="350">
        <v>1412</v>
      </c>
      <c r="D38" s="350">
        <v>1412</v>
      </c>
      <c r="E38" s="350">
        <v>564</v>
      </c>
      <c r="F38" s="350">
        <v>564</v>
      </c>
    </row>
    <row r="39" spans="1:6" x14ac:dyDescent="0.2">
      <c r="A39" s="91" t="s">
        <v>18</v>
      </c>
      <c r="B39" s="94"/>
      <c r="C39" s="298">
        <f>SUM(C12:C38)</f>
        <v>31397</v>
      </c>
      <c r="D39" s="298">
        <f>SUM(D12:D38)</f>
        <v>31397</v>
      </c>
      <c r="E39" s="298">
        <f>SUM(E12:E38)</f>
        <v>13589</v>
      </c>
      <c r="F39" s="298">
        <f>SUM(F12:F38)</f>
        <v>13589</v>
      </c>
    </row>
    <row r="40" spans="1:6" x14ac:dyDescent="0.2">
      <c r="A40" s="95"/>
      <c r="B40" s="96"/>
      <c r="C40" s="96"/>
      <c r="D40" s="96"/>
      <c r="E40" s="96"/>
      <c r="F40" s="96"/>
    </row>
    <row r="41" spans="1:6" x14ac:dyDescent="0.2">
      <c r="C41" s="87" t="s">
        <v>11</v>
      </c>
    </row>
    <row r="42" spans="1:6" s="494" customFormat="1" ht="15.75" customHeight="1" x14ac:dyDescent="0.25">
      <c r="A42" s="500"/>
      <c r="B42" s="500"/>
      <c r="C42" s="500"/>
      <c r="D42" s="500"/>
      <c r="E42" s="500"/>
      <c r="F42" s="500"/>
    </row>
    <row r="43" spans="1:6" s="494" customFormat="1" ht="15.6" customHeight="1" x14ac:dyDescent="0.2">
      <c r="A43" s="503"/>
      <c r="B43" s="810" t="s">
        <v>13</v>
      </c>
      <c r="C43" s="810"/>
      <c r="D43" s="810"/>
      <c r="E43" s="810"/>
      <c r="F43" s="810"/>
    </row>
    <row r="44" spans="1:6" s="494" customFormat="1" ht="15.75" customHeight="1" x14ac:dyDescent="0.2">
      <c r="A44" s="503"/>
      <c r="B44" s="810" t="s">
        <v>14</v>
      </c>
      <c r="C44" s="810"/>
      <c r="D44" s="810"/>
      <c r="E44" s="810"/>
      <c r="F44" s="810"/>
    </row>
    <row r="45" spans="1:6" s="494" customFormat="1" x14ac:dyDescent="0.2">
      <c r="B45" s="810" t="s">
        <v>918</v>
      </c>
      <c r="C45" s="810"/>
      <c r="D45" s="810"/>
      <c r="E45" s="810"/>
      <c r="F45" s="810"/>
    </row>
    <row r="46" spans="1:6" s="494" customFormat="1" ht="15" x14ac:dyDescent="0.25">
      <c r="A46" s="492" t="s">
        <v>12</v>
      </c>
      <c r="B46" s="657"/>
      <c r="C46" s="207" t="s">
        <v>82</v>
      </c>
      <c r="D46" s="207"/>
      <c r="E46" s="207"/>
      <c r="F46" s="207"/>
    </row>
  </sheetData>
  <mergeCells count="10">
    <mergeCell ref="B43:F43"/>
    <mergeCell ref="B44:F44"/>
    <mergeCell ref="B45:F45"/>
    <mergeCell ref="B3:F3"/>
    <mergeCell ref="B2:F2"/>
    <mergeCell ref="A5:F5"/>
    <mergeCell ref="C9:D9"/>
    <mergeCell ref="E9:F9"/>
    <mergeCell ref="A9:A10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1:J52"/>
  <sheetViews>
    <sheetView topLeftCell="A16" zoomScale="85" zoomScaleNormal="85" zoomScaleSheetLayoutView="100" workbookViewId="0">
      <selection activeCell="M38" sqref="M38"/>
    </sheetView>
  </sheetViews>
  <sheetFormatPr defaultRowHeight="12.75" x14ac:dyDescent="0.2"/>
  <cols>
    <col min="1" max="1" width="9.140625" style="472"/>
    <col min="2" max="2" width="18.42578125" style="472" customWidth="1"/>
    <col min="3" max="3" width="16.42578125" style="472" customWidth="1"/>
    <col min="4" max="4" width="10.85546875" style="472" customWidth="1"/>
    <col min="5" max="5" width="13.7109375" style="472" customWidth="1"/>
    <col min="6" max="6" width="14.28515625" style="472" customWidth="1"/>
    <col min="7" max="7" width="11.42578125" style="472" customWidth="1"/>
    <col min="8" max="8" width="12.28515625" style="472" customWidth="1"/>
    <col min="9" max="9" width="16.28515625" style="472" customWidth="1"/>
    <col min="10" max="10" width="19.28515625" style="472" customWidth="1"/>
    <col min="11" max="255" width="9.140625" style="472"/>
    <col min="256" max="256" width="18.42578125" style="472" customWidth="1"/>
    <col min="257" max="257" width="16.42578125" style="472" customWidth="1"/>
    <col min="258" max="258" width="10.85546875" style="472" customWidth="1"/>
    <col min="259" max="259" width="13.7109375" style="472" customWidth="1"/>
    <col min="260" max="260" width="14.28515625" style="472" customWidth="1"/>
    <col min="261" max="261" width="11.42578125" style="472" customWidth="1"/>
    <col min="262" max="262" width="12.28515625" style="472" customWidth="1"/>
    <col min="263" max="263" width="16.28515625" style="472" customWidth="1"/>
    <col min="264" max="264" width="19.28515625" style="472" customWidth="1"/>
    <col min="265" max="511" width="9.140625" style="472"/>
    <col min="512" max="512" width="18.42578125" style="472" customWidth="1"/>
    <col min="513" max="513" width="16.42578125" style="472" customWidth="1"/>
    <col min="514" max="514" width="10.85546875" style="472" customWidth="1"/>
    <col min="515" max="515" width="13.7109375" style="472" customWidth="1"/>
    <col min="516" max="516" width="14.28515625" style="472" customWidth="1"/>
    <col min="517" max="517" width="11.42578125" style="472" customWidth="1"/>
    <col min="518" max="518" width="12.28515625" style="472" customWidth="1"/>
    <col min="519" max="519" width="16.28515625" style="472" customWidth="1"/>
    <col min="520" max="520" width="19.28515625" style="472" customWidth="1"/>
    <col min="521" max="767" width="9.140625" style="472"/>
    <col min="768" max="768" width="18.42578125" style="472" customWidth="1"/>
    <col min="769" max="769" width="16.42578125" style="472" customWidth="1"/>
    <col min="770" max="770" width="10.85546875" style="472" customWidth="1"/>
    <col min="771" max="771" width="13.7109375" style="472" customWidth="1"/>
    <col min="772" max="772" width="14.28515625" style="472" customWidth="1"/>
    <col min="773" max="773" width="11.42578125" style="472" customWidth="1"/>
    <col min="774" max="774" width="12.28515625" style="472" customWidth="1"/>
    <col min="775" max="775" width="16.28515625" style="472" customWidth="1"/>
    <col min="776" max="776" width="19.28515625" style="472" customWidth="1"/>
    <col min="777" max="1023" width="9.140625" style="472"/>
    <col min="1024" max="1024" width="18.42578125" style="472" customWidth="1"/>
    <col min="1025" max="1025" width="16.42578125" style="472" customWidth="1"/>
    <col min="1026" max="1026" width="10.85546875" style="472" customWidth="1"/>
    <col min="1027" max="1027" width="13.7109375" style="472" customWidth="1"/>
    <col min="1028" max="1028" width="14.28515625" style="472" customWidth="1"/>
    <col min="1029" max="1029" width="11.42578125" style="472" customWidth="1"/>
    <col min="1030" max="1030" width="12.28515625" style="472" customWidth="1"/>
    <col min="1031" max="1031" width="16.28515625" style="472" customWidth="1"/>
    <col min="1032" max="1032" width="19.28515625" style="472" customWidth="1"/>
    <col min="1033" max="1279" width="9.140625" style="472"/>
    <col min="1280" max="1280" width="18.42578125" style="472" customWidth="1"/>
    <col min="1281" max="1281" width="16.42578125" style="472" customWidth="1"/>
    <col min="1282" max="1282" width="10.85546875" style="472" customWidth="1"/>
    <col min="1283" max="1283" width="13.7109375" style="472" customWidth="1"/>
    <col min="1284" max="1284" width="14.28515625" style="472" customWidth="1"/>
    <col min="1285" max="1285" width="11.42578125" style="472" customWidth="1"/>
    <col min="1286" max="1286" width="12.28515625" style="472" customWidth="1"/>
    <col min="1287" max="1287" width="16.28515625" style="472" customWidth="1"/>
    <col min="1288" max="1288" width="19.28515625" style="472" customWidth="1"/>
    <col min="1289" max="1535" width="9.140625" style="472"/>
    <col min="1536" max="1536" width="18.42578125" style="472" customWidth="1"/>
    <col min="1537" max="1537" width="16.42578125" style="472" customWidth="1"/>
    <col min="1538" max="1538" width="10.85546875" style="472" customWidth="1"/>
    <col min="1539" max="1539" width="13.7109375" style="472" customWidth="1"/>
    <col min="1540" max="1540" width="14.28515625" style="472" customWidth="1"/>
    <col min="1541" max="1541" width="11.42578125" style="472" customWidth="1"/>
    <col min="1542" max="1542" width="12.28515625" style="472" customWidth="1"/>
    <col min="1543" max="1543" width="16.28515625" style="472" customWidth="1"/>
    <col min="1544" max="1544" width="19.28515625" style="472" customWidth="1"/>
    <col min="1545" max="1791" width="9.140625" style="472"/>
    <col min="1792" max="1792" width="18.42578125" style="472" customWidth="1"/>
    <col min="1793" max="1793" width="16.42578125" style="472" customWidth="1"/>
    <col min="1794" max="1794" width="10.85546875" style="472" customWidth="1"/>
    <col min="1795" max="1795" width="13.7109375" style="472" customWidth="1"/>
    <col min="1796" max="1796" width="14.28515625" style="472" customWidth="1"/>
    <col min="1797" max="1797" width="11.42578125" style="472" customWidth="1"/>
    <col min="1798" max="1798" width="12.28515625" style="472" customWidth="1"/>
    <col min="1799" max="1799" width="16.28515625" style="472" customWidth="1"/>
    <col min="1800" max="1800" width="19.28515625" style="472" customWidth="1"/>
    <col min="1801" max="2047" width="9.140625" style="472"/>
    <col min="2048" max="2048" width="18.42578125" style="472" customWidth="1"/>
    <col min="2049" max="2049" width="16.42578125" style="472" customWidth="1"/>
    <col min="2050" max="2050" width="10.85546875" style="472" customWidth="1"/>
    <col min="2051" max="2051" width="13.7109375" style="472" customWidth="1"/>
    <col min="2052" max="2052" width="14.28515625" style="472" customWidth="1"/>
    <col min="2053" max="2053" width="11.42578125" style="472" customWidth="1"/>
    <col min="2054" max="2054" width="12.28515625" style="472" customWidth="1"/>
    <col min="2055" max="2055" width="16.28515625" style="472" customWidth="1"/>
    <col min="2056" max="2056" width="19.28515625" style="472" customWidth="1"/>
    <col min="2057" max="2303" width="9.140625" style="472"/>
    <col min="2304" max="2304" width="18.42578125" style="472" customWidth="1"/>
    <col min="2305" max="2305" width="16.42578125" style="472" customWidth="1"/>
    <col min="2306" max="2306" width="10.85546875" style="472" customWidth="1"/>
    <col min="2307" max="2307" width="13.7109375" style="472" customWidth="1"/>
    <col min="2308" max="2308" width="14.28515625" style="472" customWidth="1"/>
    <col min="2309" max="2309" width="11.42578125" style="472" customWidth="1"/>
    <col min="2310" max="2310" width="12.28515625" style="472" customWidth="1"/>
    <col min="2311" max="2311" width="16.28515625" style="472" customWidth="1"/>
    <col min="2312" max="2312" width="19.28515625" style="472" customWidth="1"/>
    <col min="2313" max="2559" width="9.140625" style="472"/>
    <col min="2560" max="2560" width="18.42578125" style="472" customWidth="1"/>
    <col min="2561" max="2561" width="16.42578125" style="472" customWidth="1"/>
    <col min="2562" max="2562" width="10.85546875" style="472" customWidth="1"/>
    <col min="2563" max="2563" width="13.7109375" style="472" customWidth="1"/>
    <col min="2564" max="2564" width="14.28515625" style="472" customWidth="1"/>
    <col min="2565" max="2565" width="11.42578125" style="472" customWidth="1"/>
    <col min="2566" max="2566" width="12.28515625" style="472" customWidth="1"/>
    <col min="2567" max="2567" width="16.28515625" style="472" customWidth="1"/>
    <col min="2568" max="2568" width="19.28515625" style="472" customWidth="1"/>
    <col min="2569" max="2815" width="9.140625" style="472"/>
    <col min="2816" max="2816" width="18.42578125" style="472" customWidth="1"/>
    <col min="2817" max="2817" width="16.42578125" style="472" customWidth="1"/>
    <col min="2818" max="2818" width="10.85546875" style="472" customWidth="1"/>
    <col min="2819" max="2819" width="13.7109375" style="472" customWidth="1"/>
    <col min="2820" max="2820" width="14.28515625" style="472" customWidth="1"/>
    <col min="2821" max="2821" width="11.42578125" style="472" customWidth="1"/>
    <col min="2822" max="2822" width="12.28515625" style="472" customWidth="1"/>
    <col min="2823" max="2823" width="16.28515625" style="472" customWidth="1"/>
    <col min="2824" max="2824" width="19.28515625" style="472" customWidth="1"/>
    <col min="2825" max="3071" width="9.140625" style="472"/>
    <col min="3072" max="3072" width="18.42578125" style="472" customWidth="1"/>
    <col min="3073" max="3073" width="16.42578125" style="472" customWidth="1"/>
    <col min="3074" max="3074" width="10.85546875" style="472" customWidth="1"/>
    <col min="3075" max="3075" width="13.7109375" style="472" customWidth="1"/>
    <col min="3076" max="3076" width="14.28515625" style="472" customWidth="1"/>
    <col min="3077" max="3077" width="11.42578125" style="472" customWidth="1"/>
    <col min="3078" max="3078" width="12.28515625" style="472" customWidth="1"/>
    <col min="3079" max="3079" width="16.28515625" style="472" customWidth="1"/>
    <col min="3080" max="3080" width="19.28515625" style="472" customWidth="1"/>
    <col min="3081" max="3327" width="9.140625" style="472"/>
    <col min="3328" max="3328" width="18.42578125" style="472" customWidth="1"/>
    <col min="3329" max="3329" width="16.42578125" style="472" customWidth="1"/>
    <col min="3330" max="3330" width="10.85546875" style="472" customWidth="1"/>
    <col min="3331" max="3331" width="13.7109375" style="472" customWidth="1"/>
    <col min="3332" max="3332" width="14.28515625" style="472" customWidth="1"/>
    <col min="3333" max="3333" width="11.42578125" style="472" customWidth="1"/>
    <col min="3334" max="3334" width="12.28515625" style="472" customWidth="1"/>
    <col min="3335" max="3335" width="16.28515625" style="472" customWidth="1"/>
    <col min="3336" max="3336" width="19.28515625" style="472" customWidth="1"/>
    <col min="3337" max="3583" width="9.140625" style="472"/>
    <col min="3584" max="3584" width="18.42578125" style="472" customWidth="1"/>
    <col min="3585" max="3585" width="16.42578125" style="472" customWidth="1"/>
    <col min="3586" max="3586" width="10.85546875" style="472" customWidth="1"/>
    <col min="3587" max="3587" width="13.7109375" style="472" customWidth="1"/>
    <col min="3588" max="3588" width="14.28515625" style="472" customWidth="1"/>
    <col min="3589" max="3589" width="11.42578125" style="472" customWidth="1"/>
    <col min="3590" max="3590" width="12.28515625" style="472" customWidth="1"/>
    <col min="3591" max="3591" width="16.28515625" style="472" customWidth="1"/>
    <col min="3592" max="3592" width="19.28515625" style="472" customWidth="1"/>
    <col min="3593" max="3839" width="9.140625" style="472"/>
    <col min="3840" max="3840" width="18.42578125" style="472" customWidth="1"/>
    <col min="3841" max="3841" width="16.42578125" style="472" customWidth="1"/>
    <col min="3842" max="3842" width="10.85546875" style="472" customWidth="1"/>
    <col min="3843" max="3843" width="13.7109375" style="472" customWidth="1"/>
    <col min="3844" max="3844" width="14.28515625" style="472" customWidth="1"/>
    <col min="3845" max="3845" width="11.42578125" style="472" customWidth="1"/>
    <col min="3846" max="3846" width="12.28515625" style="472" customWidth="1"/>
    <col min="3847" max="3847" width="16.28515625" style="472" customWidth="1"/>
    <col min="3848" max="3848" width="19.28515625" style="472" customWidth="1"/>
    <col min="3849" max="4095" width="9.140625" style="472"/>
    <col min="4096" max="4096" width="18.42578125" style="472" customWidth="1"/>
    <col min="4097" max="4097" width="16.42578125" style="472" customWidth="1"/>
    <col min="4098" max="4098" width="10.85546875" style="472" customWidth="1"/>
    <col min="4099" max="4099" width="13.7109375" style="472" customWidth="1"/>
    <col min="4100" max="4100" width="14.28515625" style="472" customWidth="1"/>
    <col min="4101" max="4101" width="11.42578125" style="472" customWidth="1"/>
    <col min="4102" max="4102" width="12.28515625" style="472" customWidth="1"/>
    <col min="4103" max="4103" width="16.28515625" style="472" customWidth="1"/>
    <col min="4104" max="4104" width="19.28515625" style="472" customWidth="1"/>
    <col min="4105" max="4351" width="9.140625" style="472"/>
    <col min="4352" max="4352" width="18.42578125" style="472" customWidth="1"/>
    <col min="4353" max="4353" width="16.42578125" style="472" customWidth="1"/>
    <col min="4354" max="4354" width="10.85546875" style="472" customWidth="1"/>
    <col min="4355" max="4355" width="13.7109375" style="472" customWidth="1"/>
    <col min="4356" max="4356" width="14.28515625" style="472" customWidth="1"/>
    <col min="4357" max="4357" width="11.42578125" style="472" customWidth="1"/>
    <col min="4358" max="4358" width="12.28515625" style="472" customWidth="1"/>
    <col min="4359" max="4359" width="16.28515625" style="472" customWidth="1"/>
    <col min="4360" max="4360" width="19.28515625" style="472" customWidth="1"/>
    <col min="4361" max="4607" width="9.140625" style="472"/>
    <col min="4608" max="4608" width="18.42578125" style="472" customWidth="1"/>
    <col min="4609" max="4609" width="16.42578125" style="472" customWidth="1"/>
    <col min="4610" max="4610" width="10.85546875" style="472" customWidth="1"/>
    <col min="4611" max="4611" width="13.7109375" style="472" customWidth="1"/>
    <col min="4612" max="4612" width="14.28515625" style="472" customWidth="1"/>
    <col min="4613" max="4613" width="11.42578125" style="472" customWidth="1"/>
    <col min="4614" max="4614" width="12.28515625" style="472" customWidth="1"/>
    <col min="4615" max="4615" width="16.28515625" style="472" customWidth="1"/>
    <col min="4616" max="4616" width="19.28515625" style="472" customWidth="1"/>
    <col min="4617" max="4863" width="9.140625" style="472"/>
    <col min="4864" max="4864" width="18.42578125" style="472" customWidth="1"/>
    <col min="4865" max="4865" width="16.42578125" style="472" customWidth="1"/>
    <col min="4866" max="4866" width="10.85546875" style="472" customWidth="1"/>
    <col min="4867" max="4867" width="13.7109375" style="472" customWidth="1"/>
    <col min="4868" max="4868" width="14.28515625" style="472" customWidth="1"/>
    <col min="4869" max="4869" width="11.42578125" style="472" customWidth="1"/>
    <col min="4870" max="4870" width="12.28515625" style="472" customWidth="1"/>
    <col min="4871" max="4871" width="16.28515625" style="472" customWidth="1"/>
    <col min="4872" max="4872" width="19.28515625" style="472" customWidth="1"/>
    <col min="4873" max="5119" width="9.140625" style="472"/>
    <col min="5120" max="5120" width="18.42578125" style="472" customWidth="1"/>
    <col min="5121" max="5121" width="16.42578125" style="472" customWidth="1"/>
    <col min="5122" max="5122" width="10.85546875" style="472" customWidth="1"/>
    <col min="5123" max="5123" width="13.7109375" style="472" customWidth="1"/>
    <col min="5124" max="5124" width="14.28515625" style="472" customWidth="1"/>
    <col min="5125" max="5125" width="11.42578125" style="472" customWidth="1"/>
    <col min="5126" max="5126" width="12.28515625" style="472" customWidth="1"/>
    <col min="5127" max="5127" width="16.28515625" style="472" customWidth="1"/>
    <col min="5128" max="5128" width="19.28515625" style="472" customWidth="1"/>
    <col min="5129" max="5375" width="9.140625" style="472"/>
    <col min="5376" max="5376" width="18.42578125" style="472" customWidth="1"/>
    <col min="5377" max="5377" width="16.42578125" style="472" customWidth="1"/>
    <col min="5378" max="5378" width="10.85546875" style="472" customWidth="1"/>
    <col min="5379" max="5379" width="13.7109375" style="472" customWidth="1"/>
    <col min="5380" max="5380" width="14.28515625" style="472" customWidth="1"/>
    <col min="5381" max="5381" width="11.42578125" style="472" customWidth="1"/>
    <col min="5382" max="5382" width="12.28515625" style="472" customWidth="1"/>
    <col min="5383" max="5383" width="16.28515625" style="472" customWidth="1"/>
    <col min="5384" max="5384" width="19.28515625" style="472" customWidth="1"/>
    <col min="5385" max="5631" width="9.140625" style="472"/>
    <col min="5632" max="5632" width="18.42578125" style="472" customWidth="1"/>
    <col min="5633" max="5633" width="16.42578125" style="472" customWidth="1"/>
    <col min="5634" max="5634" width="10.85546875" style="472" customWidth="1"/>
    <col min="5635" max="5635" width="13.7109375" style="472" customWidth="1"/>
    <col min="5636" max="5636" width="14.28515625" style="472" customWidth="1"/>
    <col min="5637" max="5637" width="11.42578125" style="472" customWidth="1"/>
    <col min="5638" max="5638" width="12.28515625" style="472" customWidth="1"/>
    <col min="5639" max="5639" width="16.28515625" style="472" customWidth="1"/>
    <col min="5640" max="5640" width="19.28515625" style="472" customWidth="1"/>
    <col min="5641" max="5887" width="9.140625" style="472"/>
    <col min="5888" max="5888" width="18.42578125" style="472" customWidth="1"/>
    <col min="5889" max="5889" width="16.42578125" style="472" customWidth="1"/>
    <col min="5890" max="5890" width="10.85546875" style="472" customWidth="1"/>
    <col min="5891" max="5891" width="13.7109375" style="472" customWidth="1"/>
    <col min="5892" max="5892" width="14.28515625" style="472" customWidth="1"/>
    <col min="5893" max="5893" width="11.42578125" style="472" customWidth="1"/>
    <col min="5894" max="5894" width="12.28515625" style="472" customWidth="1"/>
    <col min="5895" max="5895" width="16.28515625" style="472" customWidth="1"/>
    <col min="5896" max="5896" width="19.28515625" style="472" customWidth="1"/>
    <col min="5897" max="6143" width="9.140625" style="472"/>
    <col min="6144" max="6144" width="18.42578125" style="472" customWidth="1"/>
    <col min="6145" max="6145" width="16.42578125" style="472" customWidth="1"/>
    <col min="6146" max="6146" width="10.85546875" style="472" customWidth="1"/>
    <col min="6147" max="6147" width="13.7109375" style="472" customWidth="1"/>
    <col min="6148" max="6148" width="14.28515625" style="472" customWidth="1"/>
    <col min="6149" max="6149" width="11.42578125" style="472" customWidth="1"/>
    <col min="6150" max="6150" width="12.28515625" style="472" customWidth="1"/>
    <col min="6151" max="6151" width="16.28515625" style="472" customWidth="1"/>
    <col min="6152" max="6152" width="19.28515625" style="472" customWidth="1"/>
    <col min="6153" max="6399" width="9.140625" style="472"/>
    <col min="6400" max="6400" width="18.42578125" style="472" customWidth="1"/>
    <col min="6401" max="6401" width="16.42578125" style="472" customWidth="1"/>
    <col min="6402" max="6402" width="10.85546875" style="472" customWidth="1"/>
    <col min="6403" max="6403" width="13.7109375" style="472" customWidth="1"/>
    <col min="6404" max="6404" width="14.28515625" style="472" customWidth="1"/>
    <col min="6405" max="6405" width="11.42578125" style="472" customWidth="1"/>
    <col min="6406" max="6406" width="12.28515625" style="472" customWidth="1"/>
    <col min="6407" max="6407" width="16.28515625" style="472" customWidth="1"/>
    <col min="6408" max="6408" width="19.28515625" style="472" customWidth="1"/>
    <col min="6409" max="6655" width="9.140625" style="472"/>
    <col min="6656" max="6656" width="18.42578125" style="472" customWidth="1"/>
    <col min="6657" max="6657" width="16.42578125" style="472" customWidth="1"/>
    <col min="6658" max="6658" width="10.85546875" style="472" customWidth="1"/>
    <col min="6659" max="6659" width="13.7109375" style="472" customWidth="1"/>
    <col min="6660" max="6660" width="14.28515625" style="472" customWidth="1"/>
    <col min="6661" max="6661" width="11.42578125" style="472" customWidth="1"/>
    <col min="6662" max="6662" width="12.28515625" style="472" customWidth="1"/>
    <col min="6663" max="6663" width="16.28515625" style="472" customWidth="1"/>
    <col min="6664" max="6664" width="19.28515625" style="472" customWidth="1"/>
    <col min="6665" max="6911" width="9.140625" style="472"/>
    <col min="6912" max="6912" width="18.42578125" style="472" customWidth="1"/>
    <col min="6913" max="6913" width="16.42578125" style="472" customWidth="1"/>
    <col min="6914" max="6914" width="10.85546875" style="472" customWidth="1"/>
    <col min="6915" max="6915" width="13.7109375" style="472" customWidth="1"/>
    <col min="6916" max="6916" width="14.28515625" style="472" customWidth="1"/>
    <col min="6917" max="6917" width="11.42578125" style="472" customWidth="1"/>
    <col min="6918" max="6918" width="12.28515625" style="472" customWidth="1"/>
    <col min="6919" max="6919" width="16.28515625" style="472" customWidth="1"/>
    <col min="6920" max="6920" width="19.28515625" style="472" customWidth="1"/>
    <col min="6921" max="7167" width="9.140625" style="472"/>
    <col min="7168" max="7168" width="18.42578125" style="472" customWidth="1"/>
    <col min="7169" max="7169" width="16.42578125" style="472" customWidth="1"/>
    <col min="7170" max="7170" width="10.85546875" style="472" customWidth="1"/>
    <col min="7171" max="7171" width="13.7109375" style="472" customWidth="1"/>
    <col min="7172" max="7172" width="14.28515625" style="472" customWidth="1"/>
    <col min="7173" max="7173" width="11.42578125" style="472" customWidth="1"/>
    <col min="7174" max="7174" width="12.28515625" style="472" customWidth="1"/>
    <col min="7175" max="7175" width="16.28515625" style="472" customWidth="1"/>
    <col min="7176" max="7176" width="19.28515625" style="472" customWidth="1"/>
    <col min="7177" max="7423" width="9.140625" style="472"/>
    <col min="7424" max="7424" width="18.42578125" style="472" customWidth="1"/>
    <col min="7425" max="7425" width="16.42578125" style="472" customWidth="1"/>
    <col min="7426" max="7426" width="10.85546875" style="472" customWidth="1"/>
    <col min="7427" max="7427" width="13.7109375" style="472" customWidth="1"/>
    <col min="7428" max="7428" width="14.28515625" style="472" customWidth="1"/>
    <col min="7429" max="7429" width="11.42578125" style="472" customWidth="1"/>
    <col min="7430" max="7430" width="12.28515625" style="472" customWidth="1"/>
    <col min="7431" max="7431" width="16.28515625" style="472" customWidth="1"/>
    <col min="7432" max="7432" width="19.28515625" style="472" customWidth="1"/>
    <col min="7433" max="7679" width="9.140625" style="472"/>
    <col min="7680" max="7680" width="18.42578125" style="472" customWidth="1"/>
    <col min="7681" max="7681" width="16.42578125" style="472" customWidth="1"/>
    <col min="7682" max="7682" width="10.85546875" style="472" customWidth="1"/>
    <col min="7683" max="7683" width="13.7109375" style="472" customWidth="1"/>
    <col min="7684" max="7684" width="14.28515625" style="472" customWidth="1"/>
    <col min="7685" max="7685" width="11.42578125" style="472" customWidth="1"/>
    <col min="7686" max="7686" width="12.28515625" style="472" customWidth="1"/>
    <col min="7687" max="7687" width="16.28515625" style="472" customWidth="1"/>
    <col min="7688" max="7688" width="19.28515625" style="472" customWidth="1"/>
    <col min="7689" max="7935" width="9.140625" style="472"/>
    <col min="7936" max="7936" width="18.42578125" style="472" customWidth="1"/>
    <col min="7937" max="7937" width="16.42578125" style="472" customWidth="1"/>
    <col min="7938" max="7938" width="10.85546875" style="472" customWidth="1"/>
    <col min="7939" max="7939" width="13.7109375" style="472" customWidth="1"/>
    <col min="7940" max="7940" width="14.28515625" style="472" customWidth="1"/>
    <col min="7941" max="7941" width="11.42578125" style="472" customWidth="1"/>
    <col min="7942" max="7942" width="12.28515625" style="472" customWidth="1"/>
    <col min="7943" max="7943" width="16.28515625" style="472" customWidth="1"/>
    <col min="7944" max="7944" width="19.28515625" style="472" customWidth="1"/>
    <col min="7945" max="8191" width="9.140625" style="472"/>
    <col min="8192" max="8192" width="18.42578125" style="472" customWidth="1"/>
    <col min="8193" max="8193" width="16.42578125" style="472" customWidth="1"/>
    <col min="8194" max="8194" width="10.85546875" style="472" customWidth="1"/>
    <col min="8195" max="8195" width="13.7109375" style="472" customWidth="1"/>
    <col min="8196" max="8196" width="14.28515625" style="472" customWidth="1"/>
    <col min="8197" max="8197" width="11.42578125" style="472" customWidth="1"/>
    <col min="8198" max="8198" width="12.28515625" style="472" customWidth="1"/>
    <col min="8199" max="8199" width="16.28515625" style="472" customWidth="1"/>
    <col min="8200" max="8200" width="19.28515625" style="472" customWidth="1"/>
    <col min="8201" max="8447" width="9.140625" style="472"/>
    <col min="8448" max="8448" width="18.42578125" style="472" customWidth="1"/>
    <col min="8449" max="8449" width="16.42578125" style="472" customWidth="1"/>
    <col min="8450" max="8450" width="10.85546875" style="472" customWidth="1"/>
    <col min="8451" max="8451" width="13.7109375" style="472" customWidth="1"/>
    <col min="8452" max="8452" width="14.28515625" style="472" customWidth="1"/>
    <col min="8453" max="8453" width="11.42578125" style="472" customWidth="1"/>
    <col min="8454" max="8454" width="12.28515625" style="472" customWidth="1"/>
    <col min="8455" max="8455" width="16.28515625" style="472" customWidth="1"/>
    <col min="8456" max="8456" width="19.28515625" style="472" customWidth="1"/>
    <col min="8457" max="8703" width="9.140625" style="472"/>
    <col min="8704" max="8704" width="18.42578125" style="472" customWidth="1"/>
    <col min="8705" max="8705" width="16.42578125" style="472" customWidth="1"/>
    <col min="8706" max="8706" width="10.85546875" style="472" customWidth="1"/>
    <col min="8707" max="8707" width="13.7109375" style="472" customWidth="1"/>
    <col min="8708" max="8708" width="14.28515625" style="472" customWidth="1"/>
    <col min="8709" max="8709" width="11.42578125" style="472" customWidth="1"/>
    <col min="8710" max="8710" width="12.28515625" style="472" customWidth="1"/>
    <col min="8711" max="8711" width="16.28515625" style="472" customWidth="1"/>
    <col min="8712" max="8712" width="19.28515625" style="472" customWidth="1"/>
    <col min="8713" max="8959" width="9.140625" style="472"/>
    <col min="8960" max="8960" width="18.42578125" style="472" customWidth="1"/>
    <col min="8961" max="8961" width="16.42578125" style="472" customWidth="1"/>
    <col min="8962" max="8962" width="10.85546875" style="472" customWidth="1"/>
    <col min="8963" max="8963" width="13.7109375" style="472" customWidth="1"/>
    <col min="8964" max="8964" width="14.28515625" style="472" customWidth="1"/>
    <col min="8965" max="8965" width="11.42578125" style="472" customWidth="1"/>
    <col min="8966" max="8966" width="12.28515625" style="472" customWidth="1"/>
    <col min="8967" max="8967" width="16.28515625" style="472" customWidth="1"/>
    <col min="8968" max="8968" width="19.28515625" style="472" customWidth="1"/>
    <col min="8969" max="9215" width="9.140625" style="472"/>
    <col min="9216" max="9216" width="18.42578125" style="472" customWidth="1"/>
    <col min="9217" max="9217" width="16.42578125" style="472" customWidth="1"/>
    <col min="9218" max="9218" width="10.85546875" style="472" customWidth="1"/>
    <col min="9219" max="9219" width="13.7109375" style="472" customWidth="1"/>
    <col min="9220" max="9220" width="14.28515625" style="472" customWidth="1"/>
    <col min="9221" max="9221" width="11.42578125" style="472" customWidth="1"/>
    <col min="9222" max="9222" width="12.28515625" style="472" customWidth="1"/>
    <col min="9223" max="9223" width="16.28515625" style="472" customWidth="1"/>
    <col min="9224" max="9224" width="19.28515625" style="472" customWidth="1"/>
    <col min="9225" max="9471" width="9.140625" style="472"/>
    <col min="9472" max="9472" width="18.42578125" style="472" customWidth="1"/>
    <col min="9473" max="9473" width="16.42578125" style="472" customWidth="1"/>
    <col min="9474" max="9474" width="10.85546875" style="472" customWidth="1"/>
    <col min="9475" max="9475" width="13.7109375" style="472" customWidth="1"/>
    <col min="9476" max="9476" width="14.28515625" style="472" customWidth="1"/>
    <col min="9477" max="9477" width="11.42578125" style="472" customWidth="1"/>
    <col min="9478" max="9478" width="12.28515625" style="472" customWidth="1"/>
    <col min="9479" max="9479" width="16.28515625" style="472" customWidth="1"/>
    <col min="9480" max="9480" width="19.28515625" style="472" customWidth="1"/>
    <col min="9481" max="9727" width="9.140625" style="472"/>
    <col min="9728" max="9728" width="18.42578125" style="472" customWidth="1"/>
    <col min="9729" max="9729" width="16.42578125" style="472" customWidth="1"/>
    <col min="9730" max="9730" width="10.85546875" style="472" customWidth="1"/>
    <col min="9731" max="9731" width="13.7109375" style="472" customWidth="1"/>
    <col min="9732" max="9732" width="14.28515625" style="472" customWidth="1"/>
    <col min="9733" max="9733" width="11.42578125" style="472" customWidth="1"/>
    <col min="9734" max="9734" width="12.28515625" style="472" customWidth="1"/>
    <col min="9735" max="9735" width="16.28515625" style="472" customWidth="1"/>
    <col min="9736" max="9736" width="19.28515625" style="472" customWidth="1"/>
    <col min="9737" max="9983" width="9.140625" style="472"/>
    <col min="9984" max="9984" width="18.42578125" style="472" customWidth="1"/>
    <col min="9985" max="9985" width="16.42578125" style="472" customWidth="1"/>
    <col min="9986" max="9986" width="10.85546875" style="472" customWidth="1"/>
    <col min="9987" max="9987" width="13.7109375" style="472" customWidth="1"/>
    <col min="9988" max="9988" width="14.28515625" style="472" customWidth="1"/>
    <col min="9989" max="9989" width="11.42578125" style="472" customWidth="1"/>
    <col min="9990" max="9990" width="12.28515625" style="472" customWidth="1"/>
    <col min="9991" max="9991" width="16.28515625" style="472" customWidth="1"/>
    <col min="9992" max="9992" width="19.28515625" style="472" customWidth="1"/>
    <col min="9993" max="10239" width="9.140625" style="472"/>
    <col min="10240" max="10240" width="18.42578125" style="472" customWidth="1"/>
    <col min="10241" max="10241" width="16.42578125" style="472" customWidth="1"/>
    <col min="10242" max="10242" width="10.85546875" style="472" customWidth="1"/>
    <col min="10243" max="10243" width="13.7109375" style="472" customWidth="1"/>
    <col min="10244" max="10244" width="14.28515625" style="472" customWidth="1"/>
    <col min="10245" max="10245" width="11.42578125" style="472" customWidth="1"/>
    <col min="10246" max="10246" width="12.28515625" style="472" customWidth="1"/>
    <col min="10247" max="10247" width="16.28515625" style="472" customWidth="1"/>
    <col min="10248" max="10248" width="19.28515625" style="472" customWidth="1"/>
    <col min="10249" max="10495" width="9.140625" style="472"/>
    <col min="10496" max="10496" width="18.42578125" style="472" customWidth="1"/>
    <col min="10497" max="10497" width="16.42578125" style="472" customWidth="1"/>
    <col min="10498" max="10498" width="10.85546875" style="472" customWidth="1"/>
    <col min="10499" max="10499" width="13.7109375" style="472" customWidth="1"/>
    <col min="10500" max="10500" width="14.28515625" style="472" customWidth="1"/>
    <col min="10501" max="10501" width="11.42578125" style="472" customWidth="1"/>
    <col min="10502" max="10502" width="12.28515625" style="472" customWidth="1"/>
    <col min="10503" max="10503" width="16.28515625" style="472" customWidth="1"/>
    <col min="10504" max="10504" width="19.28515625" style="472" customWidth="1"/>
    <col min="10505" max="10751" width="9.140625" style="472"/>
    <col min="10752" max="10752" width="18.42578125" style="472" customWidth="1"/>
    <col min="10753" max="10753" width="16.42578125" style="472" customWidth="1"/>
    <col min="10754" max="10754" width="10.85546875" style="472" customWidth="1"/>
    <col min="10755" max="10755" width="13.7109375" style="472" customWidth="1"/>
    <col min="10756" max="10756" width="14.28515625" style="472" customWidth="1"/>
    <col min="10757" max="10757" width="11.42578125" style="472" customWidth="1"/>
    <col min="10758" max="10758" width="12.28515625" style="472" customWidth="1"/>
    <col min="10759" max="10759" width="16.28515625" style="472" customWidth="1"/>
    <col min="10760" max="10760" width="19.28515625" style="472" customWidth="1"/>
    <col min="10761" max="11007" width="9.140625" style="472"/>
    <col min="11008" max="11008" width="18.42578125" style="472" customWidth="1"/>
    <col min="11009" max="11009" width="16.42578125" style="472" customWidth="1"/>
    <col min="11010" max="11010" width="10.85546875" style="472" customWidth="1"/>
    <col min="11011" max="11011" width="13.7109375" style="472" customWidth="1"/>
    <col min="11012" max="11012" width="14.28515625" style="472" customWidth="1"/>
    <col min="11013" max="11013" width="11.42578125" style="472" customWidth="1"/>
    <col min="11014" max="11014" width="12.28515625" style="472" customWidth="1"/>
    <col min="11015" max="11015" width="16.28515625" style="472" customWidth="1"/>
    <col min="11016" max="11016" width="19.28515625" style="472" customWidth="1"/>
    <col min="11017" max="11263" width="9.140625" style="472"/>
    <col min="11264" max="11264" width="18.42578125" style="472" customWidth="1"/>
    <col min="11265" max="11265" width="16.42578125" style="472" customWidth="1"/>
    <col min="11266" max="11266" width="10.85546875" style="472" customWidth="1"/>
    <col min="11267" max="11267" width="13.7109375" style="472" customWidth="1"/>
    <col min="11268" max="11268" width="14.28515625" style="472" customWidth="1"/>
    <col min="11269" max="11269" width="11.42578125" style="472" customWidth="1"/>
    <col min="11270" max="11270" width="12.28515625" style="472" customWidth="1"/>
    <col min="11271" max="11271" width="16.28515625" style="472" customWidth="1"/>
    <col min="11272" max="11272" width="19.28515625" style="472" customWidth="1"/>
    <col min="11273" max="11519" width="9.140625" style="472"/>
    <col min="11520" max="11520" width="18.42578125" style="472" customWidth="1"/>
    <col min="11521" max="11521" width="16.42578125" style="472" customWidth="1"/>
    <col min="11522" max="11522" width="10.85546875" style="472" customWidth="1"/>
    <col min="11523" max="11523" width="13.7109375" style="472" customWidth="1"/>
    <col min="11524" max="11524" width="14.28515625" style="472" customWidth="1"/>
    <col min="11525" max="11525" width="11.42578125" style="472" customWidth="1"/>
    <col min="11526" max="11526" width="12.28515625" style="472" customWidth="1"/>
    <col min="11527" max="11527" width="16.28515625" style="472" customWidth="1"/>
    <col min="11528" max="11528" width="19.28515625" style="472" customWidth="1"/>
    <col min="11529" max="11775" width="9.140625" style="472"/>
    <col min="11776" max="11776" width="18.42578125" style="472" customWidth="1"/>
    <col min="11777" max="11777" width="16.42578125" style="472" customWidth="1"/>
    <col min="11778" max="11778" width="10.85546875" style="472" customWidth="1"/>
    <col min="11779" max="11779" width="13.7109375" style="472" customWidth="1"/>
    <col min="11780" max="11780" width="14.28515625" style="472" customWidth="1"/>
    <col min="11781" max="11781" width="11.42578125" style="472" customWidth="1"/>
    <col min="11782" max="11782" width="12.28515625" style="472" customWidth="1"/>
    <col min="11783" max="11783" width="16.28515625" style="472" customWidth="1"/>
    <col min="11784" max="11784" width="19.28515625" style="472" customWidth="1"/>
    <col min="11785" max="12031" width="9.140625" style="472"/>
    <col min="12032" max="12032" width="18.42578125" style="472" customWidth="1"/>
    <col min="12033" max="12033" width="16.42578125" style="472" customWidth="1"/>
    <col min="12034" max="12034" width="10.85546875" style="472" customWidth="1"/>
    <col min="12035" max="12035" width="13.7109375" style="472" customWidth="1"/>
    <col min="12036" max="12036" width="14.28515625" style="472" customWidth="1"/>
    <col min="12037" max="12037" width="11.42578125" style="472" customWidth="1"/>
    <col min="12038" max="12038" width="12.28515625" style="472" customWidth="1"/>
    <col min="12039" max="12039" width="16.28515625" style="472" customWidth="1"/>
    <col min="12040" max="12040" width="19.28515625" style="472" customWidth="1"/>
    <col min="12041" max="12287" width="9.140625" style="472"/>
    <col min="12288" max="12288" width="18.42578125" style="472" customWidth="1"/>
    <col min="12289" max="12289" width="16.42578125" style="472" customWidth="1"/>
    <col min="12290" max="12290" width="10.85546875" style="472" customWidth="1"/>
    <col min="12291" max="12291" width="13.7109375" style="472" customWidth="1"/>
    <col min="12292" max="12292" width="14.28515625" style="472" customWidth="1"/>
    <col min="12293" max="12293" width="11.42578125" style="472" customWidth="1"/>
    <col min="12294" max="12294" width="12.28515625" style="472" customWidth="1"/>
    <col min="12295" max="12295" width="16.28515625" style="472" customWidth="1"/>
    <col min="12296" max="12296" width="19.28515625" style="472" customWidth="1"/>
    <col min="12297" max="12543" width="9.140625" style="472"/>
    <col min="12544" max="12544" width="18.42578125" style="472" customWidth="1"/>
    <col min="12545" max="12545" width="16.42578125" style="472" customWidth="1"/>
    <col min="12546" max="12546" width="10.85546875" style="472" customWidth="1"/>
    <col min="12547" max="12547" width="13.7109375" style="472" customWidth="1"/>
    <col min="12548" max="12548" width="14.28515625" style="472" customWidth="1"/>
    <col min="12549" max="12549" width="11.42578125" style="472" customWidth="1"/>
    <col min="12550" max="12550" width="12.28515625" style="472" customWidth="1"/>
    <col min="12551" max="12551" width="16.28515625" style="472" customWidth="1"/>
    <col min="12552" max="12552" width="19.28515625" style="472" customWidth="1"/>
    <col min="12553" max="12799" width="9.140625" style="472"/>
    <col min="12800" max="12800" width="18.42578125" style="472" customWidth="1"/>
    <col min="12801" max="12801" width="16.42578125" style="472" customWidth="1"/>
    <col min="12802" max="12802" width="10.85546875" style="472" customWidth="1"/>
    <col min="12803" max="12803" width="13.7109375" style="472" customWidth="1"/>
    <col min="12804" max="12804" width="14.28515625" style="472" customWidth="1"/>
    <col min="12805" max="12805" width="11.42578125" style="472" customWidth="1"/>
    <col min="12806" max="12806" width="12.28515625" style="472" customWidth="1"/>
    <col min="12807" max="12807" width="16.28515625" style="472" customWidth="1"/>
    <col min="12808" max="12808" width="19.28515625" style="472" customWidth="1"/>
    <col min="12809" max="13055" width="9.140625" style="472"/>
    <col min="13056" max="13056" width="18.42578125" style="472" customWidth="1"/>
    <col min="13057" max="13057" width="16.42578125" style="472" customWidth="1"/>
    <col min="13058" max="13058" width="10.85546875" style="472" customWidth="1"/>
    <col min="13059" max="13059" width="13.7109375" style="472" customWidth="1"/>
    <col min="13060" max="13060" width="14.28515625" style="472" customWidth="1"/>
    <col min="13061" max="13061" width="11.42578125" style="472" customWidth="1"/>
    <col min="13062" max="13062" width="12.28515625" style="472" customWidth="1"/>
    <col min="13063" max="13063" width="16.28515625" style="472" customWidth="1"/>
    <col min="13064" max="13064" width="19.28515625" style="472" customWidth="1"/>
    <col min="13065" max="13311" width="9.140625" style="472"/>
    <col min="13312" max="13312" width="18.42578125" style="472" customWidth="1"/>
    <col min="13313" max="13313" width="16.42578125" style="472" customWidth="1"/>
    <col min="13314" max="13314" width="10.85546875" style="472" customWidth="1"/>
    <col min="13315" max="13315" width="13.7109375" style="472" customWidth="1"/>
    <col min="13316" max="13316" width="14.28515625" style="472" customWidth="1"/>
    <col min="13317" max="13317" width="11.42578125" style="472" customWidth="1"/>
    <col min="13318" max="13318" width="12.28515625" style="472" customWidth="1"/>
    <col min="13319" max="13319" width="16.28515625" style="472" customWidth="1"/>
    <col min="13320" max="13320" width="19.28515625" style="472" customWidth="1"/>
    <col min="13321" max="13567" width="9.140625" style="472"/>
    <col min="13568" max="13568" width="18.42578125" style="472" customWidth="1"/>
    <col min="13569" max="13569" width="16.42578125" style="472" customWidth="1"/>
    <col min="13570" max="13570" width="10.85546875" style="472" customWidth="1"/>
    <col min="13571" max="13571" width="13.7109375" style="472" customWidth="1"/>
    <col min="13572" max="13572" width="14.28515625" style="472" customWidth="1"/>
    <col min="13573" max="13573" width="11.42578125" style="472" customWidth="1"/>
    <col min="13574" max="13574" width="12.28515625" style="472" customWidth="1"/>
    <col min="13575" max="13575" width="16.28515625" style="472" customWidth="1"/>
    <col min="13576" max="13576" width="19.28515625" style="472" customWidth="1"/>
    <col min="13577" max="13823" width="9.140625" style="472"/>
    <col min="13824" max="13824" width="18.42578125" style="472" customWidth="1"/>
    <col min="13825" max="13825" width="16.42578125" style="472" customWidth="1"/>
    <col min="13826" max="13826" width="10.85546875" style="472" customWidth="1"/>
    <col min="13827" max="13827" width="13.7109375" style="472" customWidth="1"/>
    <col min="13828" max="13828" width="14.28515625" style="472" customWidth="1"/>
    <col min="13829" max="13829" width="11.42578125" style="472" customWidth="1"/>
    <col min="13830" max="13830" width="12.28515625" style="472" customWidth="1"/>
    <col min="13831" max="13831" width="16.28515625" style="472" customWidth="1"/>
    <col min="13832" max="13832" width="19.28515625" style="472" customWidth="1"/>
    <col min="13833" max="14079" width="9.140625" style="472"/>
    <col min="14080" max="14080" width="18.42578125" style="472" customWidth="1"/>
    <col min="14081" max="14081" width="16.42578125" style="472" customWidth="1"/>
    <col min="14082" max="14082" width="10.85546875" style="472" customWidth="1"/>
    <col min="14083" max="14083" width="13.7109375" style="472" customWidth="1"/>
    <col min="14084" max="14084" width="14.28515625" style="472" customWidth="1"/>
    <col min="14085" max="14085" width="11.42578125" style="472" customWidth="1"/>
    <col min="14086" max="14086" width="12.28515625" style="472" customWidth="1"/>
    <col min="14087" max="14087" width="16.28515625" style="472" customWidth="1"/>
    <col min="14088" max="14088" width="19.28515625" style="472" customWidth="1"/>
    <col min="14089" max="14335" width="9.140625" style="472"/>
    <col min="14336" max="14336" width="18.42578125" style="472" customWidth="1"/>
    <col min="14337" max="14337" width="16.42578125" style="472" customWidth="1"/>
    <col min="14338" max="14338" width="10.85546875" style="472" customWidth="1"/>
    <col min="14339" max="14339" width="13.7109375" style="472" customWidth="1"/>
    <col min="14340" max="14340" width="14.28515625" style="472" customWidth="1"/>
    <col min="14341" max="14341" width="11.42578125" style="472" customWidth="1"/>
    <col min="14342" max="14342" width="12.28515625" style="472" customWidth="1"/>
    <col min="14343" max="14343" width="16.28515625" style="472" customWidth="1"/>
    <col min="14344" max="14344" width="19.28515625" style="472" customWidth="1"/>
    <col min="14345" max="14591" width="9.140625" style="472"/>
    <col min="14592" max="14592" width="18.42578125" style="472" customWidth="1"/>
    <col min="14593" max="14593" width="16.42578125" style="472" customWidth="1"/>
    <col min="14594" max="14594" width="10.85546875" style="472" customWidth="1"/>
    <col min="14595" max="14595" width="13.7109375" style="472" customWidth="1"/>
    <col min="14596" max="14596" width="14.28515625" style="472" customWidth="1"/>
    <col min="14597" max="14597" width="11.42578125" style="472" customWidth="1"/>
    <col min="14598" max="14598" width="12.28515625" style="472" customWidth="1"/>
    <col min="14599" max="14599" width="16.28515625" style="472" customWidth="1"/>
    <col min="14600" max="14600" width="19.28515625" style="472" customWidth="1"/>
    <col min="14601" max="14847" width="9.140625" style="472"/>
    <col min="14848" max="14848" width="18.42578125" style="472" customWidth="1"/>
    <col min="14849" max="14849" width="16.42578125" style="472" customWidth="1"/>
    <col min="14850" max="14850" width="10.85546875" style="472" customWidth="1"/>
    <col min="14851" max="14851" width="13.7109375" style="472" customWidth="1"/>
    <col min="14852" max="14852" width="14.28515625" style="472" customWidth="1"/>
    <col min="14853" max="14853" width="11.42578125" style="472" customWidth="1"/>
    <col min="14854" max="14854" width="12.28515625" style="472" customWidth="1"/>
    <col min="14855" max="14855" width="16.28515625" style="472" customWidth="1"/>
    <col min="14856" max="14856" width="19.28515625" style="472" customWidth="1"/>
    <col min="14857" max="15103" width="9.140625" style="472"/>
    <col min="15104" max="15104" width="18.42578125" style="472" customWidth="1"/>
    <col min="15105" max="15105" width="16.42578125" style="472" customWidth="1"/>
    <col min="15106" max="15106" width="10.85546875" style="472" customWidth="1"/>
    <col min="15107" max="15107" width="13.7109375" style="472" customWidth="1"/>
    <col min="15108" max="15108" width="14.28515625" style="472" customWidth="1"/>
    <col min="15109" max="15109" width="11.42578125" style="472" customWidth="1"/>
    <col min="15110" max="15110" width="12.28515625" style="472" customWidth="1"/>
    <col min="15111" max="15111" width="16.28515625" style="472" customWidth="1"/>
    <col min="15112" max="15112" width="19.28515625" style="472" customWidth="1"/>
    <col min="15113" max="15359" width="9.140625" style="472"/>
    <col min="15360" max="15360" width="18.42578125" style="472" customWidth="1"/>
    <col min="15361" max="15361" width="16.42578125" style="472" customWidth="1"/>
    <col min="15362" max="15362" width="10.85546875" style="472" customWidth="1"/>
    <col min="15363" max="15363" width="13.7109375" style="472" customWidth="1"/>
    <col min="15364" max="15364" width="14.28515625" style="472" customWidth="1"/>
    <col min="15365" max="15365" width="11.42578125" style="472" customWidth="1"/>
    <col min="15366" max="15366" width="12.28515625" style="472" customWidth="1"/>
    <col min="15367" max="15367" width="16.28515625" style="472" customWidth="1"/>
    <col min="15368" max="15368" width="19.28515625" style="472" customWidth="1"/>
    <col min="15369" max="15615" width="9.140625" style="472"/>
    <col min="15616" max="15616" width="18.42578125" style="472" customWidth="1"/>
    <col min="15617" max="15617" width="16.42578125" style="472" customWidth="1"/>
    <col min="15618" max="15618" width="10.85546875" style="472" customWidth="1"/>
    <col min="15619" max="15619" width="13.7109375" style="472" customWidth="1"/>
    <col min="15620" max="15620" width="14.28515625" style="472" customWidth="1"/>
    <col min="15621" max="15621" width="11.42578125" style="472" customWidth="1"/>
    <col min="15622" max="15622" width="12.28515625" style="472" customWidth="1"/>
    <col min="15623" max="15623" width="16.28515625" style="472" customWidth="1"/>
    <col min="15624" max="15624" width="19.28515625" style="472" customWidth="1"/>
    <col min="15625" max="15871" width="9.140625" style="472"/>
    <col min="15872" max="15872" width="18.42578125" style="472" customWidth="1"/>
    <col min="15873" max="15873" width="16.42578125" style="472" customWidth="1"/>
    <col min="15874" max="15874" width="10.85546875" style="472" customWidth="1"/>
    <col min="15875" max="15875" width="13.7109375" style="472" customWidth="1"/>
    <col min="15876" max="15876" width="14.28515625" style="472" customWidth="1"/>
    <col min="15877" max="15877" width="11.42578125" style="472" customWidth="1"/>
    <col min="15878" max="15878" width="12.28515625" style="472" customWidth="1"/>
    <col min="15879" max="15879" width="16.28515625" style="472" customWidth="1"/>
    <col min="15880" max="15880" width="19.28515625" style="472" customWidth="1"/>
    <col min="15881" max="16127" width="9.140625" style="472"/>
    <col min="16128" max="16128" width="18.42578125" style="472" customWidth="1"/>
    <col min="16129" max="16129" width="16.42578125" style="472" customWidth="1"/>
    <col min="16130" max="16130" width="10.85546875" style="472" customWidth="1"/>
    <col min="16131" max="16131" width="13.7109375" style="472" customWidth="1"/>
    <col min="16132" max="16132" width="14.28515625" style="472" customWidth="1"/>
    <col min="16133" max="16133" width="11.42578125" style="472" customWidth="1"/>
    <col min="16134" max="16134" width="12.28515625" style="472" customWidth="1"/>
    <col min="16135" max="16135" width="16.28515625" style="472" customWidth="1"/>
    <col min="16136" max="16136" width="19.28515625" style="472" customWidth="1"/>
    <col min="16137" max="16384" width="9.140625" style="472"/>
  </cols>
  <sheetData>
    <row r="1" spans="1:10" ht="15" x14ac:dyDescent="0.2">
      <c r="A1" s="494"/>
      <c r="B1" s="494"/>
      <c r="C1" s="494"/>
      <c r="D1" s="1052"/>
      <c r="E1" s="1052"/>
      <c r="F1" s="510"/>
      <c r="G1" s="1052" t="s">
        <v>443</v>
      </c>
      <c r="H1" s="1052"/>
      <c r="I1" s="1052"/>
      <c r="J1" s="1052"/>
    </row>
    <row r="2" spans="1:10" ht="15.75" x14ac:dyDescent="0.25">
      <c r="A2" s="1046" t="s">
        <v>0</v>
      </c>
      <c r="B2" s="1046"/>
      <c r="C2" s="1046"/>
      <c r="D2" s="1046"/>
      <c r="E2" s="1046"/>
      <c r="F2" s="1046"/>
      <c r="G2" s="1046"/>
      <c r="H2" s="1046"/>
      <c r="I2" s="1046"/>
      <c r="J2" s="1046"/>
    </row>
    <row r="3" spans="1:10" ht="18" x14ac:dyDescent="0.25">
      <c r="A3" s="501"/>
      <c r="B3" s="501"/>
      <c r="C3" s="1053" t="s">
        <v>738</v>
      </c>
      <c r="D3" s="1053"/>
      <c r="E3" s="1053"/>
      <c r="F3" s="1053"/>
      <c r="G3" s="1053"/>
      <c r="H3" s="1053"/>
      <c r="I3" s="1053"/>
      <c r="J3" s="501"/>
    </row>
    <row r="4" spans="1:10" ht="15.75" x14ac:dyDescent="0.25">
      <c r="A4" s="901" t="s">
        <v>442</v>
      </c>
      <c r="B4" s="901"/>
      <c r="C4" s="901"/>
      <c r="D4" s="901"/>
      <c r="E4" s="901"/>
      <c r="F4" s="901"/>
      <c r="G4" s="901"/>
      <c r="H4" s="901"/>
      <c r="I4" s="901"/>
      <c r="J4" s="901"/>
    </row>
    <row r="5" spans="1:10" ht="16.5" x14ac:dyDescent="0.3">
      <c r="A5" s="197" t="s">
        <v>917</v>
      </c>
      <c r="B5" s="197" t="s">
        <v>916</v>
      </c>
      <c r="C5" s="495"/>
      <c r="D5" s="495"/>
      <c r="E5" s="495"/>
      <c r="F5" s="495"/>
      <c r="G5" s="495"/>
      <c r="H5" s="495"/>
      <c r="I5" s="495"/>
      <c r="J5" s="495"/>
    </row>
    <row r="6" spans="1:10" x14ac:dyDescent="0.2">
      <c r="A6" s="494"/>
      <c r="B6" s="494"/>
      <c r="C6" s="494"/>
      <c r="D6" s="494"/>
      <c r="E6" s="494"/>
      <c r="F6" s="494"/>
      <c r="G6" s="494"/>
      <c r="H6" s="494"/>
      <c r="I6" s="494"/>
      <c r="J6" s="494"/>
    </row>
    <row r="7" spans="1:10" ht="18" x14ac:dyDescent="0.25">
      <c r="A7" s="496"/>
      <c r="B7" s="494"/>
      <c r="C7" s="494"/>
      <c r="D7" s="494"/>
      <c r="E7" s="494"/>
      <c r="F7" s="494"/>
      <c r="G7" s="494"/>
      <c r="H7" s="494"/>
      <c r="I7" s="494"/>
      <c r="J7" s="494"/>
    </row>
    <row r="8" spans="1:10" ht="21.75" customHeight="1" x14ac:dyDescent="0.2">
      <c r="A8" s="1051" t="s">
        <v>2</v>
      </c>
      <c r="B8" s="1051" t="s">
        <v>3</v>
      </c>
      <c r="C8" s="1055" t="s">
        <v>136</v>
      </c>
      <c r="D8" s="1055"/>
      <c r="E8" s="1055"/>
      <c r="F8" s="1055"/>
      <c r="G8" s="1055"/>
      <c r="H8" s="1055"/>
      <c r="I8" s="1055"/>
      <c r="J8" s="1055"/>
    </row>
    <row r="9" spans="1:10" ht="39.75" customHeight="1" x14ac:dyDescent="0.2">
      <c r="A9" s="1051"/>
      <c r="B9" s="1051"/>
      <c r="C9" s="498" t="s">
        <v>194</v>
      </c>
      <c r="D9" s="498" t="s">
        <v>116</v>
      </c>
      <c r="E9" s="498" t="s">
        <v>383</v>
      </c>
      <c r="F9" s="498" t="s">
        <v>164</v>
      </c>
      <c r="G9" s="498" t="s">
        <v>117</v>
      </c>
      <c r="H9" s="498" t="s">
        <v>193</v>
      </c>
      <c r="I9" s="498" t="s">
        <v>707</v>
      </c>
      <c r="J9" s="498" t="s">
        <v>18</v>
      </c>
    </row>
    <row r="10" spans="1:10" s="508" customFormat="1" x14ac:dyDescent="0.2">
      <c r="A10" s="506">
        <v>1</v>
      </c>
      <c r="B10" s="506">
        <v>2</v>
      </c>
      <c r="C10" s="506">
        <v>3</v>
      </c>
      <c r="D10" s="506">
        <v>4</v>
      </c>
      <c r="E10" s="506">
        <v>5</v>
      </c>
      <c r="F10" s="506">
        <v>6</v>
      </c>
      <c r="G10" s="506">
        <v>7</v>
      </c>
      <c r="H10" s="506">
        <v>8</v>
      </c>
      <c r="I10" s="506">
        <v>9</v>
      </c>
      <c r="J10" s="506">
        <v>10</v>
      </c>
    </row>
    <row r="11" spans="1:10" s="508" customFormat="1" ht="15.75" x14ac:dyDescent="0.25">
      <c r="A11" s="511">
        <v>1</v>
      </c>
      <c r="B11" s="509" t="s">
        <v>890</v>
      </c>
      <c r="C11" s="514">
        <v>31</v>
      </c>
      <c r="D11" s="514">
        <v>1208</v>
      </c>
      <c r="E11" s="514">
        <v>0</v>
      </c>
      <c r="F11" s="514">
        <v>0</v>
      </c>
      <c r="G11" s="514">
        <v>0</v>
      </c>
      <c r="H11" s="515">
        <v>0</v>
      </c>
      <c r="I11" s="516">
        <v>0</v>
      </c>
      <c r="J11" s="517">
        <f>SUM(C11:I11)</f>
        <v>1239</v>
      </c>
    </row>
    <row r="12" spans="1:10" s="508" customFormat="1" ht="15.75" x14ac:dyDescent="0.25">
      <c r="A12" s="511">
        <v>2</v>
      </c>
      <c r="B12" s="509" t="s">
        <v>891</v>
      </c>
      <c r="C12" s="514">
        <v>50</v>
      </c>
      <c r="D12" s="514">
        <v>1780</v>
      </c>
      <c r="E12" s="514">
        <v>0</v>
      </c>
      <c r="F12" s="514">
        <v>0</v>
      </c>
      <c r="G12" s="514">
        <v>0</v>
      </c>
      <c r="H12" s="515">
        <v>0</v>
      </c>
      <c r="I12" s="516">
        <v>0</v>
      </c>
      <c r="J12" s="517">
        <f t="shared" ref="J12:J37" si="0">SUM(C12:G12)</f>
        <v>1830</v>
      </c>
    </row>
    <row r="13" spans="1:10" s="508" customFormat="1" ht="15.75" x14ac:dyDescent="0.25">
      <c r="A13" s="511">
        <v>3</v>
      </c>
      <c r="B13" s="509" t="s">
        <v>892</v>
      </c>
      <c r="C13" s="514">
        <v>488</v>
      </c>
      <c r="D13" s="514">
        <v>1476</v>
      </c>
      <c r="E13" s="514">
        <v>0</v>
      </c>
      <c r="F13" s="514">
        <v>0</v>
      </c>
      <c r="G13" s="514">
        <v>0</v>
      </c>
      <c r="H13" s="515">
        <v>0</v>
      </c>
      <c r="I13" s="516">
        <v>0</v>
      </c>
      <c r="J13" s="517">
        <f t="shared" si="0"/>
        <v>1964</v>
      </c>
    </row>
    <row r="14" spans="1:10" s="508" customFormat="1" ht="15.75" x14ac:dyDescent="0.25">
      <c r="A14" s="511">
        <v>4</v>
      </c>
      <c r="B14" s="509" t="s">
        <v>893</v>
      </c>
      <c r="C14" s="514">
        <v>28</v>
      </c>
      <c r="D14" s="514">
        <v>2166</v>
      </c>
      <c r="E14" s="514">
        <v>0</v>
      </c>
      <c r="F14" s="514">
        <v>0</v>
      </c>
      <c r="G14" s="514">
        <v>0</v>
      </c>
      <c r="H14" s="515">
        <v>0</v>
      </c>
      <c r="I14" s="516">
        <v>0</v>
      </c>
      <c r="J14" s="517">
        <f t="shared" si="0"/>
        <v>2194</v>
      </c>
    </row>
    <row r="15" spans="1:10" s="508" customFormat="1" ht="15.75" x14ac:dyDescent="0.25">
      <c r="A15" s="511">
        <v>5</v>
      </c>
      <c r="B15" s="509" t="s">
        <v>894</v>
      </c>
      <c r="C15" s="514">
        <v>15</v>
      </c>
      <c r="D15" s="514">
        <v>1116</v>
      </c>
      <c r="E15" s="514">
        <v>0</v>
      </c>
      <c r="F15" s="514">
        <v>0</v>
      </c>
      <c r="G15" s="514">
        <v>0</v>
      </c>
      <c r="H15" s="515">
        <v>0</v>
      </c>
      <c r="I15" s="516">
        <v>0</v>
      </c>
      <c r="J15" s="517">
        <f t="shared" si="0"/>
        <v>1131</v>
      </c>
    </row>
    <row r="16" spans="1:10" s="508" customFormat="1" ht="15.75" x14ac:dyDescent="0.25">
      <c r="A16" s="511">
        <v>6</v>
      </c>
      <c r="B16" s="509" t="s">
        <v>895</v>
      </c>
      <c r="C16" s="514">
        <v>44</v>
      </c>
      <c r="D16" s="514">
        <v>853</v>
      </c>
      <c r="E16" s="514">
        <v>0</v>
      </c>
      <c r="F16" s="514">
        <v>0</v>
      </c>
      <c r="G16" s="514">
        <v>0</v>
      </c>
      <c r="H16" s="515">
        <v>0</v>
      </c>
      <c r="I16" s="516">
        <v>0</v>
      </c>
      <c r="J16" s="517">
        <f t="shared" si="0"/>
        <v>897</v>
      </c>
    </row>
    <row r="17" spans="1:10" s="508" customFormat="1" ht="15.75" x14ac:dyDescent="0.25">
      <c r="A17" s="511">
        <v>7</v>
      </c>
      <c r="B17" s="509" t="s">
        <v>896</v>
      </c>
      <c r="C17" s="514">
        <v>115</v>
      </c>
      <c r="D17" s="514">
        <v>2270</v>
      </c>
      <c r="E17" s="514">
        <v>0</v>
      </c>
      <c r="F17" s="514">
        <v>0</v>
      </c>
      <c r="G17" s="514">
        <v>111</v>
      </c>
      <c r="H17" s="515">
        <v>0</v>
      </c>
      <c r="I17" s="516">
        <v>0</v>
      </c>
      <c r="J17" s="517">
        <f t="shared" si="0"/>
        <v>2496</v>
      </c>
    </row>
    <row r="18" spans="1:10" s="508" customFormat="1" ht="15.75" x14ac:dyDescent="0.25">
      <c r="A18" s="511">
        <v>8</v>
      </c>
      <c r="B18" s="509" t="s">
        <v>897</v>
      </c>
      <c r="C18" s="514">
        <v>325</v>
      </c>
      <c r="D18" s="514">
        <v>559</v>
      </c>
      <c r="E18" s="514">
        <v>0</v>
      </c>
      <c r="F18" s="514">
        <v>0</v>
      </c>
      <c r="G18" s="514">
        <v>0</v>
      </c>
      <c r="H18" s="515">
        <v>0</v>
      </c>
      <c r="I18" s="516">
        <v>0</v>
      </c>
      <c r="J18" s="517">
        <f t="shared" si="0"/>
        <v>884</v>
      </c>
    </row>
    <row r="19" spans="1:10" s="508" customFormat="1" ht="15.75" x14ac:dyDescent="0.25">
      <c r="A19" s="511">
        <v>9</v>
      </c>
      <c r="B19" s="509" t="s">
        <v>898</v>
      </c>
      <c r="C19" s="514">
        <v>39</v>
      </c>
      <c r="D19" s="514">
        <v>1241</v>
      </c>
      <c r="E19" s="514">
        <v>0</v>
      </c>
      <c r="F19" s="514">
        <v>0</v>
      </c>
      <c r="G19" s="514">
        <v>56</v>
      </c>
      <c r="H19" s="515">
        <v>0</v>
      </c>
      <c r="I19" s="516">
        <v>0</v>
      </c>
      <c r="J19" s="517">
        <f t="shared" si="0"/>
        <v>1336</v>
      </c>
    </row>
    <row r="20" spans="1:10" s="508" customFormat="1" ht="15.75" x14ac:dyDescent="0.25">
      <c r="A20" s="511">
        <v>10</v>
      </c>
      <c r="B20" s="509" t="s">
        <v>899</v>
      </c>
      <c r="C20" s="514">
        <v>95</v>
      </c>
      <c r="D20" s="514">
        <v>702</v>
      </c>
      <c r="E20" s="514">
        <v>0</v>
      </c>
      <c r="F20" s="514">
        <v>0</v>
      </c>
      <c r="G20" s="514">
        <v>176</v>
      </c>
      <c r="H20" s="515">
        <v>0</v>
      </c>
      <c r="I20" s="516">
        <v>0</v>
      </c>
      <c r="J20" s="517">
        <f t="shared" si="0"/>
        <v>973</v>
      </c>
    </row>
    <row r="21" spans="1:10" s="508" customFormat="1" ht="15.75" x14ac:dyDescent="0.25">
      <c r="A21" s="511">
        <v>11</v>
      </c>
      <c r="B21" s="509" t="s">
        <v>900</v>
      </c>
      <c r="C21" s="514">
        <v>41</v>
      </c>
      <c r="D21" s="514">
        <v>1391</v>
      </c>
      <c r="E21" s="514">
        <v>0</v>
      </c>
      <c r="F21" s="514">
        <v>0</v>
      </c>
      <c r="G21" s="514">
        <v>0</v>
      </c>
      <c r="H21" s="515">
        <v>0</v>
      </c>
      <c r="I21" s="516">
        <v>0</v>
      </c>
      <c r="J21" s="517">
        <f t="shared" si="0"/>
        <v>1432</v>
      </c>
    </row>
    <row r="22" spans="1:10" ht="15.75" x14ac:dyDescent="0.25">
      <c r="A22" s="511">
        <v>12</v>
      </c>
      <c r="B22" s="509" t="s">
        <v>901</v>
      </c>
      <c r="C22" s="514">
        <v>132</v>
      </c>
      <c r="D22" s="514">
        <v>2212</v>
      </c>
      <c r="E22" s="514">
        <v>0</v>
      </c>
      <c r="F22" s="514">
        <v>0</v>
      </c>
      <c r="G22" s="514">
        <v>0</v>
      </c>
      <c r="H22" s="515">
        <v>0</v>
      </c>
      <c r="I22" s="516">
        <v>0</v>
      </c>
      <c r="J22" s="518">
        <f t="shared" si="0"/>
        <v>2344</v>
      </c>
    </row>
    <row r="23" spans="1:10" ht="15.75" x14ac:dyDescent="0.25">
      <c r="A23" s="511">
        <v>13</v>
      </c>
      <c r="B23" s="509" t="s">
        <v>902</v>
      </c>
      <c r="C23" s="514">
        <v>0</v>
      </c>
      <c r="D23" s="514">
        <v>2268</v>
      </c>
      <c r="E23" s="514">
        <v>0</v>
      </c>
      <c r="F23" s="514">
        <v>0</v>
      </c>
      <c r="G23" s="514">
        <v>0</v>
      </c>
      <c r="H23" s="515">
        <v>0</v>
      </c>
      <c r="I23" s="516">
        <v>0</v>
      </c>
      <c r="J23" s="518">
        <f t="shared" si="0"/>
        <v>2268</v>
      </c>
    </row>
    <row r="24" spans="1:10" ht="15.75" x14ac:dyDescent="0.25">
      <c r="A24" s="511">
        <v>14</v>
      </c>
      <c r="B24" s="509" t="s">
        <v>903</v>
      </c>
      <c r="C24" s="514">
        <v>104</v>
      </c>
      <c r="D24" s="514">
        <v>2108</v>
      </c>
      <c r="E24" s="514">
        <v>0</v>
      </c>
      <c r="F24" s="514">
        <v>0</v>
      </c>
      <c r="G24" s="514">
        <v>0</v>
      </c>
      <c r="H24" s="515">
        <v>0</v>
      </c>
      <c r="I24" s="516">
        <v>0</v>
      </c>
      <c r="J24" s="518">
        <f t="shared" si="0"/>
        <v>2212</v>
      </c>
    </row>
    <row r="25" spans="1:10" ht="15.75" x14ac:dyDescent="0.25">
      <c r="A25" s="511">
        <v>15</v>
      </c>
      <c r="B25" s="509" t="s">
        <v>904</v>
      </c>
      <c r="C25" s="514">
        <v>20</v>
      </c>
      <c r="D25" s="514">
        <v>1462</v>
      </c>
      <c r="E25" s="514">
        <v>0</v>
      </c>
      <c r="F25" s="514">
        <v>0</v>
      </c>
      <c r="G25" s="514">
        <v>0</v>
      </c>
      <c r="H25" s="515">
        <v>0</v>
      </c>
      <c r="I25" s="516">
        <v>0</v>
      </c>
      <c r="J25" s="518">
        <f t="shared" si="0"/>
        <v>1482</v>
      </c>
    </row>
    <row r="26" spans="1:10" ht="15.75" x14ac:dyDescent="0.25">
      <c r="A26" s="511">
        <v>16</v>
      </c>
      <c r="B26" s="509" t="s">
        <v>905</v>
      </c>
      <c r="C26" s="514">
        <v>8</v>
      </c>
      <c r="D26" s="514">
        <v>1825</v>
      </c>
      <c r="E26" s="514">
        <v>0</v>
      </c>
      <c r="F26" s="514">
        <v>0</v>
      </c>
      <c r="G26" s="514">
        <v>0</v>
      </c>
      <c r="H26" s="515">
        <v>0</v>
      </c>
      <c r="I26" s="516">
        <v>0</v>
      </c>
      <c r="J26" s="518">
        <f t="shared" si="0"/>
        <v>1833</v>
      </c>
    </row>
    <row r="27" spans="1:10" ht="15.75" x14ac:dyDescent="0.25">
      <c r="A27" s="511">
        <v>17</v>
      </c>
      <c r="B27" s="509" t="s">
        <v>906</v>
      </c>
      <c r="C27" s="514">
        <v>47</v>
      </c>
      <c r="D27" s="514">
        <v>1972</v>
      </c>
      <c r="E27" s="514">
        <v>0</v>
      </c>
      <c r="F27" s="514">
        <v>0</v>
      </c>
      <c r="G27" s="514">
        <v>0</v>
      </c>
      <c r="H27" s="515">
        <v>0</v>
      </c>
      <c r="I27" s="516">
        <v>0</v>
      </c>
      <c r="J27" s="518">
        <f t="shared" si="0"/>
        <v>2019</v>
      </c>
    </row>
    <row r="28" spans="1:10" ht="15.75" x14ac:dyDescent="0.25">
      <c r="A28" s="511">
        <v>18</v>
      </c>
      <c r="B28" s="509" t="s">
        <v>907</v>
      </c>
      <c r="C28" s="514">
        <v>57</v>
      </c>
      <c r="D28" s="514">
        <v>1329</v>
      </c>
      <c r="E28" s="514">
        <v>0</v>
      </c>
      <c r="F28" s="514">
        <v>0</v>
      </c>
      <c r="G28" s="514">
        <v>0</v>
      </c>
      <c r="H28" s="515">
        <v>0</v>
      </c>
      <c r="I28" s="516">
        <v>0</v>
      </c>
      <c r="J28" s="518">
        <f t="shared" si="0"/>
        <v>1386</v>
      </c>
    </row>
    <row r="29" spans="1:10" ht="15.75" x14ac:dyDescent="0.25">
      <c r="A29" s="511">
        <v>19</v>
      </c>
      <c r="B29" s="509" t="s">
        <v>908</v>
      </c>
      <c r="C29" s="514">
        <v>95</v>
      </c>
      <c r="D29" s="514">
        <v>1714</v>
      </c>
      <c r="E29" s="514">
        <v>0</v>
      </c>
      <c r="F29" s="514">
        <v>0</v>
      </c>
      <c r="G29" s="514">
        <v>0</v>
      </c>
      <c r="H29" s="515">
        <v>0</v>
      </c>
      <c r="I29" s="516">
        <v>0</v>
      </c>
      <c r="J29" s="518">
        <f t="shared" si="0"/>
        <v>1809</v>
      </c>
    </row>
    <row r="30" spans="1:10" ht="15.75" x14ac:dyDescent="0.25">
      <c r="A30" s="511">
        <v>20</v>
      </c>
      <c r="B30" s="509" t="s">
        <v>909</v>
      </c>
      <c r="C30" s="514">
        <v>72</v>
      </c>
      <c r="D30" s="514">
        <v>869</v>
      </c>
      <c r="E30" s="514">
        <v>0</v>
      </c>
      <c r="F30" s="514">
        <v>0</v>
      </c>
      <c r="G30" s="514">
        <v>0</v>
      </c>
      <c r="H30" s="515">
        <v>0</v>
      </c>
      <c r="I30" s="516">
        <v>0</v>
      </c>
      <c r="J30" s="518">
        <f t="shared" si="0"/>
        <v>941</v>
      </c>
    </row>
    <row r="31" spans="1:10" ht="15.75" x14ac:dyDescent="0.25">
      <c r="A31" s="511">
        <v>21</v>
      </c>
      <c r="B31" s="509" t="s">
        <v>910</v>
      </c>
      <c r="C31" s="514">
        <v>0</v>
      </c>
      <c r="D31" s="514">
        <v>568</v>
      </c>
      <c r="E31" s="514">
        <v>0</v>
      </c>
      <c r="F31" s="514">
        <v>0</v>
      </c>
      <c r="G31" s="514">
        <v>0</v>
      </c>
      <c r="H31" s="515">
        <v>0</v>
      </c>
      <c r="I31" s="516">
        <v>0</v>
      </c>
      <c r="J31" s="518">
        <f t="shared" si="0"/>
        <v>568</v>
      </c>
    </row>
    <row r="32" spans="1:10" ht="15.75" x14ac:dyDescent="0.25">
      <c r="A32" s="511">
        <v>22</v>
      </c>
      <c r="B32" s="509" t="s">
        <v>911</v>
      </c>
      <c r="C32" s="514">
        <v>121</v>
      </c>
      <c r="D32" s="514">
        <v>2784</v>
      </c>
      <c r="E32" s="514">
        <v>0</v>
      </c>
      <c r="F32" s="514">
        <v>0</v>
      </c>
      <c r="G32" s="514">
        <v>0</v>
      </c>
      <c r="H32" s="515">
        <v>0</v>
      </c>
      <c r="I32" s="516">
        <v>0</v>
      </c>
      <c r="J32" s="518">
        <f t="shared" si="0"/>
        <v>2905</v>
      </c>
    </row>
    <row r="33" spans="1:10" ht="15.75" x14ac:dyDescent="0.25">
      <c r="A33" s="511">
        <v>23</v>
      </c>
      <c r="B33" s="509" t="s">
        <v>912</v>
      </c>
      <c r="C33" s="514">
        <v>27</v>
      </c>
      <c r="D33" s="514">
        <v>1035</v>
      </c>
      <c r="E33" s="514">
        <v>0</v>
      </c>
      <c r="F33" s="514">
        <v>0</v>
      </c>
      <c r="G33" s="514">
        <v>217</v>
      </c>
      <c r="H33" s="515">
        <v>0</v>
      </c>
      <c r="I33" s="516">
        <v>0</v>
      </c>
      <c r="J33" s="518">
        <f t="shared" si="0"/>
        <v>1279</v>
      </c>
    </row>
    <row r="34" spans="1:10" ht="15.75" x14ac:dyDescent="0.25">
      <c r="A34" s="511">
        <v>24</v>
      </c>
      <c r="B34" s="509" t="s">
        <v>913</v>
      </c>
      <c r="C34" s="514">
        <v>69</v>
      </c>
      <c r="D34" s="514">
        <v>2586</v>
      </c>
      <c r="E34" s="514">
        <v>0</v>
      </c>
      <c r="F34" s="514">
        <v>0</v>
      </c>
      <c r="G34" s="514">
        <v>0</v>
      </c>
      <c r="H34" s="515">
        <v>0</v>
      </c>
      <c r="I34" s="516">
        <v>0</v>
      </c>
      <c r="J34" s="518">
        <f t="shared" si="0"/>
        <v>2655</v>
      </c>
    </row>
    <row r="35" spans="1:10" ht="15.75" x14ac:dyDescent="0.25">
      <c r="A35" s="511">
        <v>25</v>
      </c>
      <c r="B35" s="509" t="s">
        <v>919</v>
      </c>
      <c r="C35" s="514">
        <v>169</v>
      </c>
      <c r="D35" s="514">
        <v>1638</v>
      </c>
      <c r="E35" s="514">
        <v>0</v>
      </c>
      <c r="F35" s="514">
        <v>0</v>
      </c>
      <c r="G35" s="514">
        <v>122</v>
      </c>
      <c r="H35" s="515">
        <v>0</v>
      </c>
      <c r="I35" s="516">
        <v>0</v>
      </c>
      <c r="J35" s="518">
        <f t="shared" si="0"/>
        <v>1929</v>
      </c>
    </row>
    <row r="36" spans="1:10" ht="15.75" x14ac:dyDescent="0.25">
      <c r="A36" s="511">
        <v>26</v>
      </c>
      <c r="B36" s="509" t="s">
        <v>914</v>
      </c>
      <c r="C36" s="514">
        <v>116</v>
      </c>
      <c r="D36" s="514">
        <v>888</v>
      </c>
      <c r="E36" s="514">
        <v>0</v>
      </c>
      <c r="F36" s="514">
        <v>0</v>
      </c>
      <c r="G36" s="514">
        <v>0</v>
      </c>
      <c r="H36" s="515">
        <v>0</v>
      </c>
      <c r="I36" s="516">
        <v>0</v>
      </c>
      <c r="J36" s="518">
        <f t="shared" si="0"/>
        <v>1004</v>
      </c>
    </row>
    <row r="37" spans="1:10" ht="15.75" x14ac:dyDescent="0.25">
      <c r="A37" s="511">
        <v>27</v>
      </c>
      <c r="B37" s="509" t="s">
        <v>915</v>
      </c>
      <c r="C37" s="514">
        <v>239</v>
      </c>
      <c r="D37" s="514">
        <v>1737</v>
      </c>
      <c r="E37" s="514">
        <v>0</v>
      </c>
      <c r="F37" s="514">
        <v>0</v>
      </c>
      <c r="G37" s="514">
        <v>0</v>
      </c>
      <c r="H37" s="515">
        <v>0</v>
      </c>
      <c r="I37" s="516">
        <v>0</v>
      </c>
      <c r="J37" s="518">
        <f t="shared" si="0"/>
        <v>1976</v>
      </c>
    </row>
    <row r="38" spans="1:10" ht="15.75" x14ac:dyDescent="0.25">
      <c r="A38" s="1056" t="s">
        <v>18</v>
      </c>
      <c r="B38" s="1057"/>
      <c r="C38" s="518">
        <f>SUM(C11:C37)</f>
        <v>2547</v>
      </c>
      <c r="D38" s="518">
        <f>SUM(D11:D37)</f>
        <v>41757</v>
      </c>
      <c r="E38" s="518">
        <f>SUM(E11:E37)</f>
        <v>0</v>
      </c>
      <c r="F38" s="518">
        <f>SUM(F11:F37)</f>
        <v>0</v>
      </c>
      <c r="G38" s="518">
        <f>SUM(G11:G37)</f>
        <v>682</v>
      </c>
      <c r="H38" s="515">
        <v>0</v>
      </c>
      <c r="I38" s="516">
        <v>0</v>
      </c>
      <c r="J38" s="518">
        <f>SUM(J11:J37)</f>
        <v>44986</v>
      </c>
    </row>
    <row r="39" spans="1:10" x14ac:dyDescent="0.2">
      <c r="A39" s="502"/>
      <c r="B39" s="494"/>
      <c r="C39" s="494"/>
      <c r="D39" s="494"/>
      <c r="E39" s="494"/>
      <c r="F39" s="494"/>
      <c r="G39" s="494"/>
      <c r="H39" s="494"/>
      <c r="I39" s="494"/>
      <c r="J39" s="494"/>
    </row>
    <row r="40" spans="1:10" x14ac:dyDescent="0.2">
      <c r="A40" s="494"/>
      <c r="B40" s="494"/>
      <c r="C40" s="494"/>
      <c r="D40" s="494"/>
      <c r="E40" s="494"/>
      <c r="F40" s="494"/>
      <c r="G40" s="494"/>
      <c r="H40" s="494"/>
      <c r="I40" s="494"/>
      <c r="J40" s="494"/>
    </row>
    <row r="41" spans="1:10" x14ac:dyDescent="0.2">
      <c r="A41" s="494" t="s">
        <v>118</v>
      </c>
      <c r="B41" s="494"/>
      <c r="C41" s="494"/>
      <c r="D41" s="494"/>
      <c r="E41" s="494"/>
      <c r="F41" s="494"/>
      <c r="G41" s="494"/>
      <c r="H41" s="494"/>
      <c r="I41" s="494"/>
      <c r="J41" s="494"/>
    </row>
    <row r="42" spans="1:10" x14ac:dyDescent="0.2">
      <c r="A42" s="494" t="s">
        <v>195</v>
      </c>
      <c r="B42" s="494"/>
      <c r="C42" s="494"/>
      <c r="D42" s="494"/>
      <c r="E42" s="494"/>
      <c r="F42" s="494"/>
      <c r="G42" s="494"/>
      <c r="H42" s="494"/>
      <c r="I42" s="494"/>
      <c r="J42" s="494"/>
    </row>
    <row r="43" spans="1:10" x14ac:dyDescent="0.2">
      <c r="A43" s="472" t="s">
        <v>119</v>
      </c>
    </row>
    <row r="44" spans="1:10" x14ac:dyDescent="0.2">
      <c r="A44" s="1039" t="s">
        <v>120</v>
      </c>
      <c r="B44" s="1039"/>
      <c r="C44" s="1039"/>
      <c r="D44" s="1039"/>
      <c r="E44" s="1039"/>
      <c r="F44" s="1039"/>
      <c r="G44" s="1039"/>
      <c r="H44" s="1039"/>
      <c r="I44" s="1039"/>
      <c r="J44" s="1039"/>
    </row>
    <row r="45" spans="1:10" x14ac:dyDescent="0.2">
      <c r="A45" s="1054" t="s">
        <v>121</v>
      </c>
      <c r="B45" s="1054"/>
      <c r="C45" s="1054"/>
      <c r="D45" s="1054"/>
      <c r="E45" s="494"/>
      <c r="F45" s="494"/>
      <c r="G45" s="494"/>
      <c r="H45" s="494"/>
      <c r="I45" s="494"/>
      <c r="J45" s="494"/>
    </row>
    <row r="46" spans="1:10" x14ac:dyDescent="0.2">
      <c r="A46" s="502" t="s">
        <v>165</v>
      </c>
      <c r="B46" s="502"/>
      <c r="C46" s="502"/>
      <c r="D46" s="502"/>
      <c r="E46" s="494"/>
      <c r="F46" s="494"/>
      <c r="G46" s="494"/>
      <c r="H46" s="494"/>
      <c r="I46" s="494"/>
      <c r="J46" s="494"/>
    </row>
    <row r="47" spans="1:10" x14ac:dyDescent="0.2">
      <c r="A47" s="502"/>
      <c r="B47" s="502"/>
      <c r="C47" s="502"/>
      <c r="D47" s="502"/>
      <c r="E47" s="494"/>
      <c r="F47" s="494"/>
      <c r="G47" s="494"/>
      <c r="H47" s="494"/>
      <c r="I47" s="494"/>
      <c r="J47" s="494"/>
    </row>
    <row r="48" spans="1:10" ht="15.75" x14ac:dyDescent="0.25">
      <c r="A48" s="500"/>
      <c r="B48" s="500"/>
      <c r="C48" s="500"/>
      <c r="D48" s="500"/>
      <c r="E48" s="500"/>
      <c r="F48" s="500"/>
      <c r="G48" s="500"/>
      <c r="H48" s="500"/>
      <c r="I48" s="500"/>
      <c r="J48" s="503"/>
    </row>
    <row r="49" spans="1:10" ht="15.75" x14ac:dyDescent="0.2">
      <c r="A49" s="503"/>
      <c r="B49" s="503"/>
      <c r="C49" s="503"/>
      <c r="D49" s="503"/>
      <c r="E49" s="503"/>
      <c r="F49" s="810" t="s">
        <v>13</v>
      </c>
      <c r="G49" s="810"/>
      <c r="H49" s="810"/>
      <c r="I49" s="810"/>
      <c r="J49" s="810"/>
    </row>
    <row r="50" spans="1:10" ht="15.75" customHeight="1" x14ac:dyDescent="0.2">
      <c r="A50" s="503"/>
      <c r="B50" s="503"/>
      <c r="C50" s="503"/>
      <c r="D50" s="503"/>
      <c r="E50" s="503"/>
      <c r="F50" s="810" t="s">
        <v>14</v>
      </c>
      <c r="G50" s="810"/>
      <c r="H50" s="810"/>
      <c r="I50" s="810"/>
      <c r="J50" s="810"/>
    </row>
    <row r="51" spans="1:10" ht="12.75" customHeight="1" x14ac:dyDescent="0.2">
      <c r="A51" s="494"/>
      <c r="B51" s="494"/>
      <c r="C51" s="494"/>
      <c r="D51" s="494"/>
      <c r="E51" s="494"/>
      <c r="F51" s="810" t="s">
        <v>918</v>
      </c>
      <c r="G51" s="810"/>
      <c r="H51" s="810"/>
      <c r="I51" s="810"/>
      <c r="J51" s="810"/>
    </row>
    <row r="52" spans="1:10" ht="15" x14ac:dyDescent="0.25">
      <c r="A52" s="492" t="s">
        <v>12</v>
      </c>
      <c r="B52" s="639"/>
      <c r="C52" s="639"/>
      <c r="D52" s="639"/>
      <c r="E52" s="639"/>
      <c r="F52" s="657"/>
      <c r="G52" s="207" t="s">
        <v>82</v>
      </c>
      <c r="H52" s="207"/>
      <c r="I52" s="207"/>
      <c r="J52" s="207"/>
    </row>
  </sheetData>
  <mergeCells count="15">
    <mergeCell ref="F49:J49"/>
    <mergeCell ref="F50:J50"/>
    <mergeCell ref="F51:J51"/>
    <mergeCell ref="D1:E1"/>
    <mergeCell ref="G1:J1"/>
    <mergeCell ref="A2:J2"/>
    <mergeCell ref="C3:I3"/>
    <mergeCell ref="A4:J4"/>
    <mergeCell ref="A45:D45"/>
    <mergeCell ref="A8:A9"/>
    <mergeCell ref="B8:B9"/>
    <mergeCell ref="C8:J8"/>
    <mergeCell ref="A38:B38"/>
    <mergeCell ref="A44:D44"/>
    <mergeCell ref="E44:J44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1:Y49"/>
  <sheetViews>
    <sheetView zoomScale="80" zoomScaleNormal="80" zoomScaleSheetLayoutView="76" workbookViewId="0">
      <selection activeCell="J20" sqref="J20"/>
    </sheetView>
  </sheetViews>
  <sheetFormatPr defaultRowHeight="12.75" x14ac:dyDescent="0.2"/>
  <cols>
    <col min="1" max="1" width="6.140625" style="472" customWidth="1"/>
    <col min="2" max="2" width="21.7109375" style="472" customWidth="1"/>
    <col min="3" max="5" width="17" style="472" customWidth="1"/>
    <col min="6" max="6" width="44.5703125" style="472" customWidth="1"/>
    <col min="7" max="11" width="17" style="472" customWidth="1"/>
    <col min="12" max="12" width="18.85546875" style="472" customWidth="1"/>
    <col min="13" max="13" width="18.7109375" style="472" customWidth="1"/>
    <col min="14" max="14" width="12.28515625" style="472" customWidth="1"/>
    <col min="15" max="15" width="12.7109375" style="472" customWidth="1"/>
    <col min="16" max="16" width="16.140625" style="472" customWidth="1"/>
    <col min="17" max="256" width="9.140625" style="472"/>
    <col min="257" max="257" width="6.140625" style="472" customWidth="1"/>
    <col min="258" max="261" width="17" style="472" customWidth="1"/>
    <col min="262" max="262" width="44.5703125" style="472" customWidth="1"/>
    <col min="263" max="267" width="17" style="472" customWidth="1"/>
    <col min="268" max="268" width="18.85546875" style="472" customWidth="1"/>
    <col min="269" max="269" width="18.7109375" style="472" customWidth="1"/>
    <col min="270" max="270" width="12.28515625" style="472" customWidth="1"/>
    <col min="271" max="271" width="12.7109375" style="472" customWidth="1"/>
    <col min="272" max="272" width="16.140625" style="472" customWidth="1"/>
    <col min="273" max="512" width="9.140625" style="472"/>
    <col min="513" max="513" width="6.140625" style="472" customWidth="1"/>
    <col min="514" max="517" width="17" style="472" customWidth="1"/>
    <col min="518" max="518" width="44.5703125" style="472" customWidth="1"/>
    <col min="519" max="523" width="17" style="472" customWidth="1"/>
    <col min="524" max="524" width="18.85546875" style="472" customWidth="1"/>
    <col min="525" max="525" width="18.7109375" style="472" customWidth="1"/>
    <col min="526" max="526" width="12.28515625" style="472" customWidth="1"/>
    <col min="527" max="527" width="12.7109375" style="472" customWidth="1"/>
    <col min="528" max="528" width="16.140625" style="472" customWidth="1"/>
    <col min="529" max="768" width="9.140625" style="472"/>
    <col min="769" max="769" width="6.140625" style="472" customWidth="1"/>
    <col min="770" max="773" width="17" style="472" customWidth="1"/>
    <col min="774" max="774" width="44.5703125" style="472" customWidth="1"/>
    <col min="775" max="779" width="17" style="472" customWidth="1"/>
    <col min="780" max="780" width="18.85546875" style="472" customWidth="1"/>
    <col min="781" max="781" width="18.7109375" style="472" customWidth="1"/>
    <col min="782" max="782" width="12.28515625" style="472" customWidth="1"/>
    <col min="783" max="783" width="12.7109375" style="472" customWidth="1"/>
    <col min="784" max="784" width="16.140625" style="472" customWidth="1"/>
    <col min="785" max="1024" width="9.140625" style="472"/>
    <col min="1025" max="1025" width="6.140625" style="472" customWidth="1"/>
    <col min="1026" max="1029" width="17" style="472" customWidth="1"/>
    <col min="1030" max="1030" width="44.5703125" style="472" customWidth="1"/>
    <col min="1031" max="1035" width="17" style="472" customWidth="1"/>
    <col min="1036" max="1036" width="18.85546875" style="472" customWidth="1"/>
    <col min="1037" max="1037" width="18.7109375" style="472" customWidth="1"/>
    <col min="1038" max="1038" width="12.28515625" style="472" customWidth="1"/>
    <col min="1039" max="1039" width="12.7109375" style="472" customWidth="1"/>
    <col min="1040" max="1040" width="16.140625" style="472" customWidth="1"/>
    <col min="1041" max="1280" width="9.140625" style="472"/>
    <col min="1281" max="1281" width="6.140625" style="472" customWidth="1"/>
    <col min="1282" max="1285" width="17" style="472" customWidth="1"/>
    <col min="1286" max="1286" width="44.5703125" style="472" customWidth="1"/>
    <col min="1287" max="1291" width="17" style="472" customWidth="1"/>
    <col min="1292" max="1292" width="18.85546875" style="472" customWidth="1"/>
    <col min="1293" max="1293" width="18.7109375" style="472" customWidth="1"/>
    <col min="1294" max="1294" width="12.28515625" style="472" customWidth="1"/>
    <col min="1295" max="1295" width="12.7109375" style="472" customWidth="1"/>
    <col min="1296" max="1296" width="16.140625" style="472" customWidth="1"/>
    <col min="1297" max="1536" width="9.140625" style="472"/>
    <col min="1537" max="1537" width="6.140625" style="472" customWidth="1"/>
    <col min="1538" max="1541" width="17" style="472" customWidth="1"/>
    <col min="1542" max="1542" width="44.5703125" style="472" customWidth="1"/>
    <col min="1543" max="1547" width="17" style="472" customWidth="1"/>
    <col min="1548" max="1548" width="18.85546875" style="472" customWidth="1"/>
    <col min="1549" max="1549" width="18.7109375" style="472" customWidth="1"/>
    <col min="1550" max="1550" width="12.28515625" style="472" customWidth="1"/>
    <col min="1551" max="1551" width="12.7109375" style="472" customWidth="1"/>
    <col min="1552" max="1552" width="16.140625" style="472" customWidth="1"/>
    <col min="1553" max="1792" width="9.140625" style="472"/>
    <col min="1793" max="1793" width="6.140625" style="472" customWidth="1"/>
    <col min="1794" max="1797" width="17" style="472" customWidth="1"/>
    <col min="1798" max="1798" width="44.5703125" style="472" customWidth="1"/>
    <col min="1799" max="1803" width="17" style="472" customWidth="1"/>
    <col min="1804" max="1804" width="18.85546875" style="472" customWidth="1"/>
    <col min="1805" max="1805" width="18.7109375" style="472" customWidth="1"/>
    <col min="1806" max="1806" width="12.28515625" style="472" customWidth="1"/>
    <col min="1807" max="1807" width="12.7109375" style="472" customWidth="1"/>
    <col min="1808" max="1808" width="16.140625" style="472" customWidth="1"/>
    <col min="1809" max="2048" width="9.140625" style="472"/>
    <col min="2049" max="2049" width="6.140625" style="472" customWidth="1"/>
    <col min="2050" max="2053" width="17" style="472" customWidth="1"/>
    <col min="2054" max="2054" width="44.5703125" style="472" customWidth="1"/>
    <col min="2055" max="2059" width="17" style="472" customWidth="1"/>
    <col min="2060" max="2060" width="18.85546875" style="472" customWidth="1"/>
    <col min="2061" max="2061" width="18.7109375" style="472" customWidth="1"/>
    <col min="2062" max="2062" width="12.28515625" style="472" customWidth="1"/>
    <col min="2063" max="2063" width="12.7109375" style="472" customWidth="1"/>
    <col min="2064" max="2064" width="16.140625" style="472" customWidth="1"/>
    <col min="2065" max="2304" width="9.140625" style="472"/>
    <col min="2305" max="2305" width="6.140625" style="472" customWidth="1"/>
    <col min="2306" max="2309" width="17" style="472" customWidth="1"/>
    <col min="2310" max="2310" width="44.5703125" style="472" customWidth="1"/>
    <col min="2311" max="2315" width="17" style="472" customWidth="1"/>
    <col min="2316" max="2316" width="18.85546875" style="472" customWidth="1"/>
    <col min="2317" max="2317" width="18.7109375" style="472" customWidth="1"/>
    <col min="2318" max="2318" width="12.28515625" style="472" customWidth="1"/>
    <col min="2319" max="2319" width="12.7109375" style="472" customWidth="1"/>
    <col min="2320" max="2320" width="16.140625" style="472" customWidth="1"/>
    <col min="2321" max="2560" width="9.140625" style="472"/>
    <col min="2561" max="2561" width="6.140625" style="472" customWidth="1"/>
    <col min="2562" max="2565" width="17" style="472" customWidth="1"/>
    <col min="2566" max="2566" width="44.5703125" style="472" customWidth="1"/>
    <col min="2567" max="2571" width="17" style="472" customWidth="1"/>
    <col min="2572" max="2572" width="18.85546875" style="472" customWidth="1"/>
    <col min="2573" max="2573" width="18.7109375" style="472" customWidth="1"/>
    <col min="2574" max="2574" width="12.28515625" style="472" customWidth="1"/>
    <col min="2575" max="2575" width="12.7109375" style="472" customWidth="1"/>
    <col min="2576" max="2576" width="16.140625" style="472" customWidth="1"/>
    <col min="2577" max="2816" width="9.140625" style="472"/>
    <col min="2817" max="2817" width="6.140625" style="472" customWidth="1"/>
    <col min="2818" max="2821" width="17" style="472" customWidth="1"/>
    <col min="2822" max="2822" width="44.5703125" style="472" customWidth="1"/>
    <col min="2823" max="2827" width="17" style="472" customWidth="1"/>
    <col min="2828" max="2828" width="18.85546875" style="472" customWidth="1"/>
    <col min="2829" max="2829" width="18.7109375" style="472" customWidth="1"/>
    <col min="2830" max="2830" width="12.28515625" style="472" customWidth="1"/>
    <col min="2831" max="2831" width="12.7109375" style="472" customWidth="1"/>
    <col min="2832" max="2832" width="16.140625" style="472" customWidth="1"/>
    <col min="2833" max="3072" width="9.140625" style="472"/>
    <col min="3073" max="3073" width="6.140625" style="472" customWidth="1"/>
    <col min="3074" max="3077" width="17" style="472" customWidth="1"/>
    <col min="3078" max="3078" width="44.5703125" style="472" customWidth="1"/>
    <col min="3079" max="3083" width="17" style="472" customWidth="1"/>
    <col min="3084" max="3084" width="18.85546875" style="472" customWidth="1"/>
    <col min="3085" max="3085" width="18.7109375" style="472" customWidth="1"/>
    <col min="3086" max="3086" width="12.28515625" style="472" customWidth="1"/>
    <col min="3087" max="3087" width="12.7109375" style="472" customWidth="1"/>
    <col min="3088" max="3088" width="16.140625" style="472" customWidth="1"/>
    <col min="3089" max="3328" width="9.140625" style="472"/>
    <col min="3329" max="3329" width="6.140625" style="472" customWidth="1"/>
    <col min="3330" max="3333" width="17" style="472" customWidth="1"/>
    <col min="3334" max="3334" width="44.5703125" style="472" customWidth="1"/>
    <col min="3335" max="3339" width="17" style="472" customWidth="1"/>
    <col min="3340" max="3340" width="18.85546875" style="472" customWidth="1"/>
    <col min="3341" max="3341" width="18.7109375" style="472" customWidth="1"/>
    <col min="3342" max="3342" width="12.28515625" style="472" customWidth="1"/>
    <col min="3343" max="3343" width="12.7109375" style="472" customWidth="1"/>
    <col min="3344" max="3344" width="16.140625" style="472" customWidth="1"/>
    <col min="3345" max="3584" width="9.140625" style="472"/>
    <col min="3585" max="3585" width="6.140625" style="472" customWidth="1"/>
    <col min="3586" max="3589" width="17" style="472" customWidth="1"/>
    <col min="3590" max="3590" width="44.5703125" style="472" customWidth="1"/>
    <col min="3591" max="3595" width="17" style="472" customWidth="1"/>
    <col min="3596" max="3596" width="18.85546875" style="472" customWidth="1"/>
    <col min="3597" max="3597" width="18.7109375" style="472" customWidth="1"/>
    <col min="3598" max="3598" width="12.28515625" style="472" customWidth="1"/>
    <col min="3599" max="3599" width="12.7109375" style="472" customWidth="1"/>
    <col min="3600" max="3600" width="16.140625" style="472" customWidth="1"/>
    <col min="3601" max="3840" width="9.140625" style="472"/>
    <col min="3841" max="3841" width="6.140625" style="472" customWidth="1"/>
    <col min="3842" max="3845" width="17" style="472" customWidth="1"/>
    <col min="3846" max="3846" width="44.5703125" style="472" customWidth="1"/>
    <col min="3847" max="3851" width="17" style="472" customWidth="1"/>
    <col min="3852" max="3852" width="18.85546875" style="472" customWidth="1"/>
    <col min="3853" max="3853" width="18.7109375" style="472" customWidth="1"/>
    <col min="3854" max="3854" width="12.28515625" style="472" customWidth="1"/>
    <col min="3855" max="3855" width="12.7109375" style="472" customWidth="1"/>
    <col min="3856" max="3856" width="16.140625" style="472" customWidth="1"/>
    <col min="3857" max="4096" width="9.140625" style="472"/>
    <col min="4097" max="4097" width="6.140625" style="472" customWidth="1"/>
    <col min="4098" max="4101" width="17" style="472" customWidth="1"/>
    <col min="4102" max="4102" width="44.5703125" style="472" customWidth="1"/>
    <col min="4103" max="4107" width="17" style="472" customWidth="1"/>
    <col min="4108" max="4108" width="18.85546875" style="472" customWidth="1"/>
    <col min="4109" max="4109" width="18.7109375" style="472" customWidth="1"/>
    <col min="4110" max="4110" width="12.28515625" style="472" customWidth="1"/>
    <col min="4111" max="4111" width="12.7109375" style="472" customWidth="1"/>
    <col min="4112" max="4112" width="16.140625" style="472" customWidth="1"/>
    <col min="4113" max="4352" width="9.140625" style="472"/>
    <col min="4353" max="4353" width="6.140625" style="472" customWidth="1"/>
    <col min="4354" max="4357" width="17" style="472" customWidth="1"/>
    <col min="4358" max="4358" width="44.5703125" style="472" customWidth="1"/>
    <col min="4359" max="4363" width="17" style="472" customWidth="1"/>
    <col min="4364" max="4364" width="18.85546875" style="472" customWidth="1"/>
    <col min="4365" max="4365" width="18.7109375" style="472" customWidth="1"/>
    <col min="4366" max="4366" width="12.28515625" style="472" customWidth="1"/>
    <col min="4367" max="4367" width="12.7109375" style="472" customWidth="1"/>
    <col min="4368" max="4368" width="16.140625" style="472" customWidth="1"/>
    <col min="4369" max="4608" width="9.140625" style="472"/>
    <col min="4609" max="4609" width="6.140625" style="472" customWidth="1"/>
    <col min="4610" max="4613" width="17" style="472" customWidth="1"/>
    <col min="4614" max="4614" width="44.5703125" style="472" customWidth="1"/>
    <col min="4615" max="4619" width="17" style="472" customWidth="1"/>
    <col min="4620" max="4620" width="18.85546875" style="472" customWidth="1"/>
    <col min="4621" max="4621" width="18.7109375" style="472" customWidth="1"/>
    <col min="4622" max="4622" width="12.28515625" style="472" customWidth="1"/>
    <col min="4623" max="4623" width="12.7109375" style="472" customWidth="1"/>
    <col min="4624" max="4624" width="16.140625" style="472" customWidth="1"/>
    <col min="4625" max="4864" width="9.140625" style="472"/>
    <col min="4865" max="4865" width="6.140625" style="472" customWidth="1"/>
    <col min="4866" max="4869" width="17" style="472" customWidth="1"/>
    <col min="4870" max="4870" width="44.5703125" style="472" customWidth="1"/>
    <col min="4871" max="4875" width="17" style="472" customWidth="1"/>
    <col min="4876" max="4876" width="18.85546875" style="472" customWidth="1"/>
    <col min="4877" max="4877" width="18.7109375" style="472" customWidth="1"/>
    <col min="4878" max="4878" width="12.28515625" style="472" customWidth="1"/>
    <col min="4879" max="4879" width="12.7109375" style="472" customWidth="1"/>
    <col min="4880" max="4880" width="16.140625" style="472" customWidth="1"/>
    <col min="4881" max="5120" width="9.140625" style="472"/>
    <col min="5121" max="5121" width="6.140625" style="472" customWidth="1"/>
    <col min="5122" max="5125" width="17" style="472" customWidth="1"/>
    <col min="5126" max="5126" width="44.5703125" style="472" customWidth="1"/>
    <col min="5127" max="5131" width="17" style="472" customWidth="1"/>
    <col min="5132" max="5132" width="18.85546875" style="472" customWidth="1"/>
    <col min="5133" max="5133" width="18.7109375" style="472" customWidth="1"/>
    <col min="5134" max="5134" width="12.28515625" style="472" customWidth="1"/>
    <col min="5135" max="5135" width="12.7109375" style="472" customWidth="1"/>
    <col min="5136" max="5136" width="16.140625" style="472" customWidth="1"/>
    <col min="5137" max="5376" width="9.140625" style="472"/>
    <col min="5377" max="5377" width="6.140625" style="472" customWidth="1"/>
    <col min="5378" max="5381" width="17" style="472" customWidth="1"/>
    <col min="5382" max="5382" width="44.5703125" style="472" customWidth="1"/>
    <col min="5383" max="5387" width="17" style="472" customWidth="1"/>
    <col min="5388" max="5388" width="18.85546875" style="472" customWidth="1"/>
    <col min="5389" max="5389" width="18.7109375" style="472" customWidth="1"/>
    <col min="5390" max="5390" width="12.28515625" style="472" customWidth="1"/>
    <col min="5391" max="5391" width="12.7109375" style="472" customWidth="1"/>
    <col min="5392" max="5392" width="16.140625" style="472" customWidth="1"/>
    <col min="5393" max="5632" width="9.140625" style="472"/>
    <col min="5633" max="5633" width="6.140625" style="472" customWidth="1"/>
    <col min="5634" max="5637" width="17" style="472" customWidth="1"/>
    <col min="5638" max="5638" width="44.5703125" style="472" customWidth="1"/>
    <col min="5639" max="5643" width="17" style="472" customWidth="1"/>
    <col min="5644" max="5644" width="18.85546875" style="472" customWidth="1"/>
    <col min="5645" max="5645" width="18.7109375" style="472" customWidth="1"/>
    <col min="5646" max="5646" width="12.28515625" style="472" customWidth="1"/>
    <col min="5647" max="5647" width="12.7109375" style="472" customWidth="1"/>
    <col min="5648" max="5648" width="16.140625" style="472" customWidth="1"/>
    <col min="5649" max="5888" width="9.140625" style="472"/>
    <col min="5889" max="5889" width="6.140625" style="472" customWidth="1"/>
    <col min="5890" max="5893" width="17" style="472" customWidth="1"/>
    <col min="5894" max="5894" width="44.5703125" style="472" customWidth="1"/>
    <col min="5895" max="5899" width="17" style="472" customWidth="1"/>
    <col min="5900" max="5900" width="18.85546875" style="472" customWidth="1"/>
    <col min="5901" max="5901" width="18.7109375" style="472" customWidth="1"/>
    <col min="5902" max="5902" width="12.28515625" style="472" customWidth="1"/>
    <col min="5903" max="5903" width="12.7109375" style="472" customWidth="1"/>
    <col min="5904" max="5904" width="16.140625" style="472" customWidth="1"/>
    <col min="5905" max="6144" width="9.140625" style="472"/>
    <col min="6145" max="6145" width="6.140625" style="472" customWidth="1"/>
    <col min="6146" max="6149" width="17" style="472" customWidth="1"/>
    <col min="6150" max="6150" width="44.5703125" style="472" customWidth="1"/>
    <col min="6151" max="6155" width="17" style="472" customWidth="1"/>
    <col min="6156" max="6156" width="18.85546875" style="472" customWidth="1"/>
    <col min="6157" max="6157" width="18.7109375" style="472" customWidth="1"/>
    <col min="6158" max="6158" width="12.28515625" style="472" customWidth="1"/>
    <col min="6159" max="6159" width="12.7109375" style="472" customWidth="1"/>
    <col min="6160" max="6160" width="16.140625" style="472" customWidth="1"/>
    <col min="6161" max="6400" width="9.140625" style="472"/>
    <col min="6401" max="6401" width="6.140625" style="472" customWidth="1"/>
    <col min="6402" max="6405" width="17" style="472" customWidth="1"/>
    <col min="6406" max="6406" width="44.5703125" style="472" customWidth="1"/>
    <col min="6407" max="6411" width="17" style="472" customWidth="1"/>
    <col min="6412" max="6412" width="18.85546875" style="472" customWidth="1"/>
    <col min="6413" max="6413" width="18.7109375" style="472" customWidth="1"/>
    <col min="6414" max="6414" width="12.28515625" style="472" customWidth="1"/>
    <col min="6415" max="6415" width="12.7109375" style="472" customWidth="1"/>
    <col min="6416" max="6416" width="16.140625" style="472" customWidth="1"/>
    <col min="6417" max="6656" width="9.140625" style="472"/>
    <col min="6657" max="6657" width="6.140625" style="472" customWidth="1"/>
    <col min="6658" max="6661" width="17" style="472" customWidth="1"/>
    <col min="6662" max="6662" width="44.5703125" style="472" customWidth="1"/>
    <col min="6663" max="6667" width="17" style="472" customWidth="1"/>
    <col min="6668" max="6668" width="18.85546875" style="472" customWidth="1"/>
    <col min="6669" max="6669" width="18.7109375" style="472" customWidth="1"/>
    <col min="6670" max="6670" width="12.28515625" style="472" customWidth="1"/>
    <col min="6671" max="6671" width="12.7109375" style="472" customWidth="1"/>
    <col min="6672" max="6672" width="16.140625" style="472" customWidth="1"/>
    <col min="6673" max="6912" width="9.140625" style="472"/>
    <col min="6913" max="6913" width="6.140625" style="472" customWidth="1"/>
    <col min="6914" max="6917" width="17" style="472" customWidth="1"/>
    <col min="6918" max="6918" width="44.5703125" style="472" customWidth="1"/>
    <col min="6919" max="6923" width="17" style="472" customWidth="1"/>
    <col min="6924" max="6924" width="18.85546875" style="472" customWidth="1"/>
    <col min="6925" max="6925" width="18.7109375" style="472" customWidth="1"/>
    <col min="6926" max="6926" width="12.28515625" style="472" customWidth="1"/>
    <col min="6927" max="6927" width="12.7109375" style="472" customWidth="1"/>
    <col min="6928" max="6928" width="16.140625" style="472" customWidth="1"/>
    <col min="6929" max="7168" width="9.140625" style="472"/>
    <col min="7169" max="7169" width="6.140625" style="472" customWidth="1"/>
    <col min="7170" max="7173" width="17" style="472" customWidth="1"/>
    <col min="7174" max="7174" width="44.5703125" style="472" customWidth="1"/>
    <col min="7175" max="7179" width="17" style="472" customWidth="1"/>
    <col min="7180" max="7180" width="18.85546875" style="472" customWidth="1"/>
    <col min="7181" max="7181" width="18.7109375" style="472" customWidth="1"/>
    <col min="7182" max="7182" width="12.28515625" style="472" customWidth="1"/>
    <col min="7183" max="7183" width="12.7109375" style="472" customWidth="1"/>
    <col min="7184" max="7184" width="16.140625" style="472" customWidth="1"/>
    <col min="7185" max="7424" width="9.140625" style="472"/>
    <col min="7425" max="7425" width="6.140625" style="472" customWidth="1"/>
    <col min="7426" max="7429" width="17" style="472" customWidth="1"/>
    <col min="7430" max="7430" width="44.5703125" style="472" customWidth="1"/>
    <col min="7431" max="7435" width="17" style="472" customWidth="1"/>
    <col min="7436" max="7436" width="18.85546875" style="472" customWidth="1"/>
    <col min="7437" max="7437" width="18.7109375" style="472" customWidth="1"/>
    <col min="7438" max="7438" width="12.28515625" style="472" customWidth="1"/>
    <col min="7439" max="7439" width="12.7109375" style="472" customWidth="1"/>
    <col min="7440" max="7440" width="16.140625" style="472" customWidth="1"/>
    <col min="7441" max="7680" width="9.140625" style="472"/>
    <col min="7681" max="7681" width="6.140625" style="472" customWidth="1"/>
    <col min="7682" max="7685" width="17" style="472" customWidth="1"/>
    <col min="7686" max="7686" width="44.5703125" style="472" customWidth="1"/>
    <col min="7687" max="7691" width="17" style="472" customWidth="1"/>
    <col min="7692" max="7692" width="18.85546875" style="472" customWidth="1"/>
    <col min="7693" max="7693" width="18.7109375" style="472" customWidth="1"/>
    <col min="7694" max="7694" width="12.28515625" style="472" customWidth="1"/>
    <col min="7695" max="7695" width="12.7109375" style="472" customWidth="1"/>
    <col min="7696" max="7696" width="16.140625" style="472" customWidth="1"/>
    <col min="7697" max="7936" width="9.140625" style="472"/>
    <col min="7937" max="7937" width="6.140625" style="472" customWidth="1"/>
    <col min="7938" max="7941" width="17" style="472" customWidth="1"/>
    <col min="7942" max="7942" width="44.5703125" style="472" customWidth="1"/>
    <col min="7943" max="7947" width="17" style="472" customWidth="1"/>
    <col min="7948" max="7948" width="18.85546875" style="472" customWidth="1"/>
    <col min="7949" max="7949" width="18.7109375" style="472" customWidth="1"/>
    <col min="7950" max="7950" width="12.28515625" style="472" customWidth="1"/>
    <col min="7951" max="7951" width="12.7109375" style="472" customWidth="1"/>
    <col min="7952" max="7952" width="16.140625" style="472" customWidth="1"/>
    <col min="7953" max="8192" width="9.140625" style="472"/>
    <col min="8193" max="8193" width="6.140625" style="472" customWidth="1"/>
    <col min="8194" max="8197" width="17" style="472" customWidth="1"/>
    <col min="8198" max="8198" width="44.5703125" style="472" customWidth="1"/>
    <col min="8199" max="8203" width="17" style="472" customWidth="1"/>
    <col min="8204" max="8204" width="18.85546875" style="472" customWidth="1"/>
    <col min="8205" max="8205" width="18.7109375" style="472" customWidth="1"/>
    <col min="8206" max="8206" width="12.28515625" style="472" customWidth="1"/>
    <col min="8207" max="8207" width="12.7109375" style="472" customWidth="1"/>
    <col min="8208" max="8208" width="16.140625" style="472" customWidth="1"/>
    <col min="8209" max="8448" width="9.140625" style="472"/>
    <col min="8449" max="8449" width="6.140625" style="472" customWidth="1"/>
    <col min="8450" max="8453" width="17" style="472" customWidth="1"/>
    <col min="8454" max="8454" width="44.5703125" style="472" customWidth="1"/>
    <col min="8455" max="8459" width="17" style="472" customWidth="1"/>
    <col min="8460" max="8460" width="18.85546875" style="472" customWidth="1"/>
    <col min="8461" max="8461" width="18.7109375" style="472" customWidth="1"/>
    <col min="8462" max="8462" width="12.28515625" style="472" customWidth="1"/>
    <col min="8463" max="8463" width="12.7109375" style="472" customWidth="1"/>
    <col min="8464" max="8464" width="16.140625" style="472" customWidth="1"/>
    <col min="8465" max="8704" width="9.140625" style="472"/>
    <col min="8705" max="8705" width="6.140625" style="472" customWidth="1"/>
    <col min="8706" max="8709" width="17" style="472" customWidth="1"/>
    <col min="8710" max="8710" width="44.5703125" style="472" customWidth="1"/>
    <col min="8711" max="8715" width="17" style="472" customWidth="1"/>
    <col min="8716" max="8716" width="18.85546875" style="472" customWidth="1"/>
    <col min="8717" max="8717" width="18.7109375" style="472" customWidth="1"/>
    <col min="8718" max="8718" width="12.28515625" style="472" customWidth="1"/>
    <col min="8719" max="8719" width="12.7109375" style="472" customWidth="1"/>
    <col min="8720" max="8720" width="16.140625" style="472" customWidth="1"/>
    <col min="8721" max="8960" width="9.140625" style="472"/>
    <col min="8961" max="8961" width="6.140625" style="472" customWidth="1"/>
    <col min="8962" max="8965" width="17" style="472" customWidth="1"/>
    <col min="8966" max="8966" width="44.5703125" style="472" customWidth="1"/>
    <col min="8967" max="8971" width="17" style="472" customWidth="1"/>
    <col min="8972" max="8972" width="18.85546875" style="472" customWidth="1"/>
    <col min="8973" max="8973" width="18.7109375" style="472" customWidth="1"/>
    <col min="8974" max="8974" width="12.28515625" style="472" customWidth="1"/>
    <col min="8975" max="8975" width="12.7109375" style="472" customWidth="1"/>
    <col min="8976" max="8976" width="16.140625" style="472" customWidth="1"/>
    <col min="8977" max="9216" width="9.140625" style="472"/>
    <col min="9217" max="9217" width="6.140625" style="472" customWidth="1"/>
    <col min="9218" max="9221" width="17" style="472" customWidth="1"/>
    <col min="9222" max="9222" width="44.5703125" style="472" customWidth="1"/>
    <col min="9223" max="9227" width="17" style="472" customWidth="1"/>
    <col min="9228" max="9228" width="18.85546875" style="472" customWidth="1"/>
    <col min="9229" max="9229" width="18.7109375" style="472" customWidth="1"/>
    <col min="9230" max="9230" width="12.28515625" style="472" customWidth="1"/>
    <col min="9231" max="9231" width="12.7109375" style="472" customWidth="1"/>
    <col min="9232" max="9232" width="16.140625" style="472" customWidth="1"/>
    <col min="9233" max="9472" width="9.140625" style="472"/>
    <col min="9473" max="9473" width="6.140625" style="472" customWidth="1"/>
    <col min="9474" max="9477" width="17" style="472" customWidth="1"/>
    <col min="9478" max="9478" width="44.5703125" style="472" customWidth="1"/>
    <col min="9479" max="9483" width="17" style="472" customWidth="1"/>
    <col min="9484" max="9484" width="18.85546875" style="472" customWidth="1"/>
    <col min="9485" max="9485" width="18.7109375" style="472" customWidth="1"/>
    <col min="9486" max="9486" width="12.28515625" style="472" customWidth="1"/>
    <col min="9487" max="9487" width="12.7109375" style="472" customWidth="1"/>
    <col min="9488" max="9488" width="16.140625" style="472" customWidth="1"/>
    <col min="9489" max="9728" width="9.140625" style="472"/>
    <col min="9729" max="9729" width="6.140625" style="472" customWidth="1"/>
    <col min="9730" max="9733" width="17" style="472" customWidth="1"/>
    <col min="9734" max="9734" width="44.5703125" style="472" customWidth="1"/>
    <col min="9735" max="9739" width="17" style="472" customWidth="1"/>
    <col min="9740" max="9740" width="18.85546875" style="472" customWidth="1"/>
    <col min="9741" max="9741" width="18.7109375" style="472" customWidth="1"/>
    <col min="9742" max="9742" width="12.28515625" style="472" customWidth="1"/>
    <col min="9743" max="9743" width="12.7109375" style="472" customWidth="1"/>
    <col min="9744" max="9744" width="16.140625" style="472" customWidth="1"/>
    <col min="9745" max="9984" width="9.140625" style="472"/>
    <col min="9985" max="9985" width="6.140625" style="472" customWidth="1"/>
    <col min="9986" max="9989" width="17" style="472" customWidth="1"/>
    <col min="9990" max="9990" width="44.5703125" style="472" customWidth="1"/>
    <col min="9991" max="9995" width="17" style="472" customWidth="1"/>
    <col min="9996" max="9996" width="18.85546875" style="472" customWidth="1"/>
    <col min="9997" max="9997" width="18.7109375" style="472" customWidth="1"/>
    <col min="9998" max="9998" width="12.28515625" style="472" customWidth="1"/>
    <col min="9999" max="9999" width="12.7109375" style="472" customWidth="1"/>
    <col min="10000" max="10000" width="16.140625" style="472" customWidth="1"/>
    <col min="10001" max="10240" width="9.140625" style="472"/>
    <col min="10241" max="10241" width="6.140625" style="472" customWidth="1"/>
    <col min="10242" max="10245" width="17" style="472" customWidth="1"/>
    <col min="10246" max="10246" width="44.5703125" style="472" customWidth="1"/>
    <col min="10247" max="10251" width="17" style="472" customWidth="1"/>
    <col min="10252" max="10252" width="18.85546875" style="472" customWidth="1"/>
    <col min="10253" max="10253" width="18.7109375" style="472" customWidth="1"/>
    <col min="10254" max="10254" width="12.28515625" style="472" customWidth="1"/>
    <col min="10255" max="10255" width="12.7109375" style="472" customWidth="1"/>
    <col min="10256" max="10256" width="16.140625" style="472" customWidth="1"/>
    <col min="10257" max="10496" width="9.140625" style="472"/>
    <col min="10497" max="10497" width="6.140625" style="472" customWidth="1"/>
    <col min="10498" max="10501" width="17" style="472" customWidth="1"/>
    <col min="10502" max="10502" width="44.5703125" style="472" customWidth="1"/>
    <col min="10503" max="10507" width="17" style="472" customWidth="1"/>
    <col min="10508" max="10508" width="18.85546875" style="472" customWidth="1"/>
    <col min="10509" max="10509" width="18.7109375" style="472" customWidth="1"/>
    <col min="10510" max="10510" width="12.28515625" style="472" customWidth="1"/>
    <col min="10511" max="10511" width="12.7109375" style="472" customWidth="1"/>
    <col min="10512" max="10512" width="16.140625" style="472" customWidth="1"/>
    <col min="10513" max="10752" width="9.140625" style="472"/>
    <col min="10753" max="10753" width="6.140625" style="472" customWidth="1"/>
    <col min="10754" max="10757" width="17" style="472" customWidth="1"/>
    <col min="10758" max="10758" width="44.5703125" style="472" customWidth="1"/>
    <col min="10759" max="10763" width="17" style="472" customWidth="1"/>
    <col min="10764" max="10764" width="18.85546875" style="472" customWidth="1"/>
    <col min="10765" max="10765" width="18.7109375" style="472" customWidth="1"/>
    <col min="10766" max="10766" width="12.28515625" style="472" customWidth="1"/>
    <col min="10767" max="10767" width="12.7109375" style="472" customWidth="1"/>
    <col min="10768" max="10768" width="16.140625" style="472" customWidth="1"/>
    <col min="10769" max="11008" width="9.140625" style="472"/>
    <col min="11009" max="11009" width="6.140625" style="472" customWidth="1"/>
    <col min="11010" max="11013" width="17" style="472" customWidth="1"/>
    <col min="11014" max="11014" width="44.5703125" style="472" customWidth="1"/>
    <col min="11015" max="11019" width="17" style="472" customWidth="1"/>
    <col min="11020" max="11020" width="18.85546875" style="472" customWidth="1"/>
    <col min="11021" max="11021" width="18.7109375" style="472" customWidth="1"/>
    <col min="11022" max="11022" width="12.28515625" style="472" customWidth="1"/>
    <col min="11023" max="11023" width="12.7109375" style="472" customWidth="1"/>
    <col min="11024" max="11024" width="16.140625" style="472" customWidth="1"/>
    <col min="11025" max="11264" width="9.140625" style="472"/>
    <col min="11265" max="11265" width="6.140625" style="472" customWidth="1"/>
    <col min="11266" max="11269" width="17" style="472" customWidth="1"/>
    <col min="11270" max="11270" width="44.5703125" style="472" customWidth="1"/>
    <col min="11271" max="11275" width="17" style="472" customWidth="1"/>
    <col min="11276" max="11276" width="18.85546875" style="472" customWidth="1"/>
    <col min="11277" max="11277" width="18.7109375" style="472" customWidth="1"/>
    <col min="11278" max="11278" width="12.28515625" style="472" customWidth="1"/>
    <col min="11279" max="11279" width="12.7109375" style="472" customWidth="1"/>
    <col min="11280" max="11280" width="16.140625" style="472" customWidth="1"/>
    <col min="11281" max="11520" width="9.140625" style="472"/>
    <col min="11521" max="11521" width="6.140625" style="472" customWidth="1"/>
    <col min="11522" max="11525" width="17" style="472" customWidth="1"/>
    <col min="11526" max="11526" width="44.5703125" style="472" customWidth="1"/>
    <col min="11527" max="11531" width="17" style="472" customWidth="1"/>
    <col min="11532" max="11532" width="18.85546875" style="472" customWidth="1"/>
    <col min="11533" max="11533" width="18.7109375" style="472" customWidth="1"/>
    <col min="11534" max="11534" width="12.28515625" style="472" customWidth="1"/>
    <col min="11535" max="11535" width="12.7109375" style="472" customWidth="1"/>
    <col min="11536" max="11536" width="16.140625" style="472" customWidth="1"/>
    <col min="11537" max="11776" width="9.140625" style="472"/>
    <col min="11777" max="11777" width="6.140625" style="472" customWidth="1"/>
    <col min="11778" max="11781" width="17" style="472" customWidth="1"/>
    <col min="11782" max="11782" width="44.5703125" style="472" customWidth="1"/>
    <col min="11783" max="11787" width="17" style="472" customWidth="1"/>
    <col min="11788" max="11788" width="18.85546875" style="472" customWidth="1"/>
    <col min="11789" max="11789" width="18.7109375" style="472" customWidth="1"/>
    <col min="11790" max="11790" width="12.28515625" style="472" customWidth="1"/>
    <col min="11791" max="11791" width="12.7109375" style="472" customWidth="1"/>
    <col min="11792" max="11792" width="16.140625" style="472" customWidth="1"/>
    <col min="11793" max="12032" width="9.140625" style="472"/>
    <col min="12033" max="12033" width="6.140625" style="472" customWidth="1"/>
    <col min="12034" max="12037" width="17" style="472" customWidth="1"/>
    <col min="12038" max="12038" width="44.5703125" style="472" customWidth="1"/>
    <col min="12039" max="12043" width="17" style="472" customWidth="1"/>
    <col min="12044" max="12044" width="18.85546875" style="472" customWidth="1"/>
    <col min="12045" max="12045" width="18.7109375" style="472" customWidth="1"/>
    <col min="12046" max="12046" width="12.28515625" style="472" customWidth="1"/>
    <col min="12047" max="12047" width="12.7109375" style="472" customWidth="1"/>
    <col min="12048" max="12048" width="16.140625" style="472" customWidth="1"/>
    <col min="12049" max="12288" width="9.140625" style="472"/>
    <col min="12289" max="12289" width="6.140625" style="472" customWidth="1"/>
    <col min="12290" max="12293" width="17" style="472" customWidth="1"/>
    <col min="12294" max="12294" width="44.5703125" style="472" customWidth="1"/>
    <col min="12295" max="12299" width="17" style="472" customWidth="1"/>
    <col min="12300" max="12300" width="18.85546875" style="472" customWidth="1"/>
    <col min="12301" max="12301" width="18.7109375" style="472" customWidth="1"/>
    <col min="12302" max="12302" width="12.28515625" style="472" customWidth="1"/>
    <col min="12303" max="12303" width="12.7109375" style="472" customWidth="1"/>
    <col min="12304" max="12304" width="16.140625" style="472" customWidth="1"/>
    <col min="12305" max="12544" width="9.140625" style="472"/>
    <col min="12545" max="12545" width="6.140625" style="472" customWidth="1"/>
    <col min="12546" max="12549" width="17" style="472" customWidth="1"/>
    <col min="12550" max="12550" width="44.5703125" style="472" customWidth="1"/>
    <col min="12551" max="12555" width="17" style="472" customWidth="1"/>
    <col min="12556" max="12556" width="18.85546875" style="472" customWidth="1"/>
    <col min="12557" max="12557" width="18.7109375" style="472" customWidth="1"/>
    <col min="12558" max="12558" width="12.28515625" style="472" customWidth="1"/>
    <col min="12559" max="12559" width="12.7109375" style="472" customWidth="1"/>
    <col min="12560" max="12560" width="16.140625" style="472" customWidth="1"/>
    <col min="12561" max="12800" width="9.140625" style="472"/>
    <col min="12801" max="12801" width="6.140625" style="472" customWidth="1"/>
    <col min="12802" max="12805" width="17" style="472" customWidth="1"/>
    <col min="12806" max="12806" width="44.5703125" style="472" customWidth="1"/>
    <col min="12807" max="12811" width="17" style="472" customWidth="1"/>
    <col min="12812" max="12812" width="18.85546875" style="472" customWidth="1"/>
    <col min="12813" max="12813" width="18.7109375" style="472" customWidth="1"/>
    <col min="12814" max="12814" width="12.28515625" style="472" customWidth="1"/>
    <col min="12815" max="12815" width="12.7109375" style="472" customWidth="1"/>
    <col min="12816" max="12816" width="16.140625" style="472" customWidth="1"/>
    <col min="12817" max="13056" width="9.140625" style="472"/>
    <col min="13057" max="13057" width="6.140625" style="472" customWidth="1"/>
    <col min="13058" max="13061" width="17" style="472" customWidth="1"/>
    <col min="13062" max="13062" width="44.5703125" style="472" customWidth="1"/>
    <col min="13063" max="13067" width="17" style="472" customWidth="1"/>
    <col min="13068" max="13068" width="18.85546875" style="472" customWidth="1"/>
    <col min="13069" max="13069" width="18.7109375" style="472" customWidth="1"/>
    <col min="13070" max="13070" width="12.28515625" style="472" customWidth="1"/>
    <col min="13071" max="13071" width="12.7109375" style="472" customWidth="1"/>
    <col min="13072" max="13072" width="16.140625" style="472" customWidth="1"/>
    <col min="13073" max="13312" width="9.140625" style="472"/>
    <col min="13313" max="13313" width="6.140625" style="472" customWidth="1"/>
    <col min="13314" max="13317" width="17" style="472" customWidth="1"/>
    <col min="13318" max="13318" width="44.5703125" style="472" customWidth="1"/>
    <col min="13319" max="13323" width="17" style="472" customWidth="1"/>
    <col min="13324" max="13324" width="18.85546875" style="472" customWidth="1"/>
    <col min="13325" max="13325" width="18.7109375" style="472" customWidth="1"/>
    <col min="13326" max="13326" width="12.28515625" style="472" customWidth="1"/>
    <col min="13327" max="13327" width="12.7109375" style="472" customWidth="1"/>
    <col min="13328" max="13328" width="16.140625" style="472" customWidth="1"/>
    <col min="13329" max="13568" width="9.140625" style="472"/>
    <col min="13569" max="13569" width="6.140625" style="472" customWidth="1"/>
    <col min="13570" max="13573" width="17" style="472" customWidth="1"/>
    <col min="13574" max="13574" width="44.5703125" style="472" customWidth="1"/>
    <col min="13575" max="13579" width="17" style="472" customWidth="1"/>
    <col min="13580" max="13580" width="18.85546875" style="472" customWidth="1"/>
    <col min="13581" max="13581" width="18.7109375" style="472" customWidth="1"/>
    <col min="13582" max="13582" width="12.28515625" style="472" customWidth="1"/>
    <col min="13583" max="13583" width="12.7109375" style="472" customWidth="1"/>
    <col min="13584" max="13584" width="16.140625" style="472" customWidth="1"/>
    <col min="13585" max="13824" width="9.140625" style="472"/>
    <col min="13825" max="13825" width="6.140625" style="472" customWidth="1"/>
    <col min="13826" max="13829" width="17" style="472" customWidth="1"/>
    <col min="13830" max="13830" width="44.5703125" style="472" customWidth="1"/>
    <col min="13831" max="13835" width="17" style="472" customWidth="1"/>
    <col min="13836" max="13836" width="18.85546875" style="472" customWidth="1"/>
    <col min="13837" max="13837" width="18.7109375" style="472" customWidth="1"/>
    <col min="13838" max="13838" width="12.28515625" style="472" customWidth="1"/>
    <col min="13839" max="13839" width="12.7109375" style="472" customWidth="1"/>
    <col min="13840" max="13840" width="16.140625" style="472" customWidth="1"/>
    <col min="13841" max="14080" width="9.140625" style="472"/>
    <col min="14081" max="14081" width="6.140625" style="472" customWidth="1"/>
    <col min="14082" max="14085" width="17" style="472" customWidth="1"/>
    <col min="14086" max="14086" width="44.5703125" style="472" customWidth="1"/>
    <col min="14087" max="14091" width="17" style="472" customWidth="1"/>
    <col min="14092" max="14092" width="18.85546875" style="472" customWidth="1"/>
    <col min="14093" max="14093" width="18.7109375" style="472" customWidth="1"/>
    <col min="14094" max="14094" width="12.28515625" style="472" customWidth="1"/>
    <col min="14095" max="14095" width="12.7109375" style="472" customWidth="1"/>
    <col min="14096" max="14096" width="16.140625" style="472" customWidth="1"/>
    <col min="14097" max="14336" width="9.140625" style="472"/>
    <col min="14337" max="14337" width="6.140625" style="472" customWidth="1"/>
    <col min="14338" max="14341" width="17" style="472" customWidth="1"/>
    <col min="14342" max="14342" width="44.5703125" style="472" customWidth="1"/>
    <col min="14343" max="14347" width="17" style="472" customWidth="1"/>
    <col min="14348" max="14348" width="18.85546875" style="472" customWidth="1"/>
    <col min="14349" max="14349" width="18.7109375" style="472" customWidth="1"/>
    <col min="14350" max="14350" width="12.28515625" style="472" customWidth="1"/>
    <col min="14351" max="14351" width="12.7109375" style="472" customWidth="1"/>
    <col min="14352" max="14352" width="16.140625" style="472" customWidth="1"/>
    <col min="14353" max="14592" width="9.140625" style="472"/>
    <col min="14593" max="14593" width="6.140625" style="472" customWidth="1"/>
    <col min="14594" max="14597" width="17" style="472" customWidth="1"/>
    <col min="14598" max="14598" width="44.5703125" style="472" customWidth="1"/>
    <col min="14599" max="14603" width="17" style="472" customWidth="1"/>
    <col min="14604" max="14604" width="18.85546875" style="472" customWidth="1"/>
    <col min="14605" max="14605" width="18.7109375" style="472" customWidth="1"/>
    <col min="14606" max="14606" width="12.28515625" style="472" customWidth="1"/>
    <col min="14607" max="14607" width="12.7109375" style="472" customWidth="1"/>
    <col min="14608" max="14608" width="16.140625" style="472" customWidth="1"/>
    <col min="14609" max="14848" width="9.140625" style="472"/>
    <col min="14849" max="14849" width="6.140625" style="472" customWidth="1"/>
    <col min="14850" max="14853" width="17" style="472" customWidth="1"/>
    <col min="14854" max="14854" width="44.5703125" style="472" customWidth="1"/>
    <col min="14855" max="14859" width="17" style="472" customWidth="1"/>
    <col min="14860" max="14860" width="18.85546875" style="472" customWidth="1"/>
    <col min="14861" max="14861" width="18.7109375" style="472" customWidth="1"/>
    <col min="14862" max="14862" width="12.28515625" style="472" customWidth="1"/>
    <col min="14863" max="14863" width="12.7109375" style="472" customWidth="1"/>
    <col min="14864" max="14864" width="16.140625" style="472" customWidth="1"/>
    <col min="14865" max="15104" width="9.140625" style="472"/>
    <col min="15105" max="15105" width="6.140625" style="472" customWidth="1"/>
    <col min="15106" max="15109" width="17" style="472" customWidth="1"/>
    <col min="15110" max="15110" width="44.5703125" style="472" customWidth="1"/>
    <col min="15111" max="15115" width="17" style="472" customWidth="1"/>
    <col min="15116" max="15116" width="18.85546875" style="472" customWidth="1"/>
    <col min="15117" max="15117" width="18.7109375" style="472" customWidth="1"/>
    <col min="15118" max="15118" width="12.28515625" style="472" customWidth="1"/>
    <col min="15119" max="15119" width="12.7109375" style="472" customWidth="1"/>
    <col min="15120" max="15120" width="16.140625" style="472" customWidth="1"/>
    <col min="15121" max="15360" width="9.140625" style="472"/>
    <col min="15361" max="15361" width="6.140625" style="472" customWidth="1"/>
    <col min="15362" max="15365" width="17" style="472" customWidth="1"/>
    <col min="15366" max="15366" width="44.5703125" style="472" customWidth="1"/>
    <col min="15367" max="15371" width="17" style="472" customWidth="1"/>
    <col min="15372" max="15372" width="18.85546875" style="472" customWidth="1"/>
    <col min="15373" max="15373" width="18.7109375" style="472" customWidth="1"/>
    <col min="15374" max="15374" width="12.28515625" style="472" customWidth="1"/>
    <col min="15375" max="15375" width="12.7109375" style="472" customWidth="1"/>
    <col min="15376" max="15376" width="16.140625" style="472" customWidth="1"/>
    <col min="15377" max="15616" width="9.140625" style="472"/>
    <col min="15617" max="15617" width="6.140625" style="472" customWidth="1"/>
    <col min="15618" max="15621" width="17" style="472" customWidth="1"/>
    <col min="15622" max="15622" width="44.5703125" style="472" customWidth="1"/>
    <col min="15623" max="15627" width="17" style="472" customWidth="1"/>
    <col min="15628" max="15628" width="18.85546875" style="472" customWidth="1"/>
    <col min="15629" max="15629" width="18.7109375" style="472" customWidth="1"/>
    <col min="15630" max="15630" width="12.28515625" style="472" customWidth="1"/>
    <col min="15631" max="15631" width="12.7109375" style="472" customWidth="1"/>
    <col min="15632" max="15632" width="16.140625" style="472" customWidth="1"/>
    <col min="15633" max="15872" width="9.140625" style="472"/>
    <col min="15873" max="15873" width="6.140625" style="472" customWidth="1"/>
    <col min="15874" max="15877" width="17" style="472" customWidth="1"/>
    <col min="15878" max="15878" width="44.5703125" style="472" customWidth="1"/>
    <col min="15879" max="15883" width="17" style="472" customWidth="1"/>
    <col min="15884" max="15884" width="18.85546875" style="472" customWidth="1"/>
    <col min="15885" max="15885" width="18.7109375" style="472" customWidth="1"/>
    <col min="15886" max="15886" width="12.28515625" style="472" customWidth="1"/>
    <col min="15887" max="15887" width="12.7109375" style="472" customWidth="1"/>
    <col min="15888" max="15888" width="16.140625" style="472" customWidth="1"/>
    <col min="15889" max="16128" width="9.140625" style="472"/>
    <col min="16129" max="16129" width="6.140625" style="472" customWidth="1"/>
    <col min="16130" max="16133" width="17" style="472" customWidth="1"/>
    <col min="16134" max="16134" width="44.5703125" style="472" customWidth="1"/>
    <col min="16135" max="16139" width="17" style="472" customWidth="1"/>
    <col min="16140" max="16140" width="18.85546875" style="472" customWidth="1"/>
    <col min="16141" max="16141" width="18.7109375" style="472" customWidth="1"/>
    <col min="16142" max="16142" width="12.28515625" style="472" customWidth="1"/>
    <col min="16143" max="16143" width="12.7109375" style="472" customWidth="1"/>
    <col min="16144" max="16144" width="16.140625" style="472" customWidth="1"/>
    <col min="16145" max="16384" width="9.140625" style="472"/>
  </cols>
  <sheetData>
    <row r="1" spans="1:25" ht="15" x14ac:dyDescent="0.2">
      <c r="A1" s="494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1052" t="s">
        <v>540</v>
      </c>
      <c r="M1" s="1052"/>
      <c r="N1" s="519"/>
      <c r="O1" s="494"/>
      <c r="P1" s="494"/>
    </row>
    <row r="2" spans="1:25" ht="15.75" x14ac:dyDescent="0.25">
      <c r="A2" s="1046" t="s">
        <v>0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494"/>
      <c r="O2" s="494"/>
      <c r="P2" s="494"/>
    </row>
    <row r="3" spans="1:25" ht="20.25" x14ac:dyDescent="0.3">
      <c r="A3" s="900" t="s">
        <v>738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494"/>
      <c r="O3" s="494"/>
      <c r="P3" s="494"/>
    </row>
    <row r="4" spans="1:25" x14ac:dyDescent="0.2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</row>
    <row r="5" spans="1:25" ht="15.75" x14ac:dyDescent="0.25">
      <c r="A5" s="901" t="s">
        <v>539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494"/>
      <c r="O5" s="494"/>
      <c r="P5" s="494"/>
    </row>
    <row r="6" spans="1:25" x14ac:dyDescent="0.2">
      <c r="A6" s="494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</row>
    <row r="7" spans="1:25" ht="15" x14ac:dyDescent="0.3">
      <c r="A7" s="197" t="s">
        <v>917</v>
      </c>
      <c r="B7" s="197" t="s">
        <v>916</v>
      </c>
      <c r="C7" s="520"/>
      <c r="D7" s="520"/>
      <c r="E7" s="520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</row>
    <row r="8" spans="1:25" ht="18" x14ac:dyDescent="0.25">
      <c r="A8" s="496"/>
      <c r="B8" s="496"/>
      <c r="C8" s="496"/>
      <c r="D8" s="496"/>
      <c r="E8" s="496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</row>
    <row r="9" spans="1:25" ht="19.899999999999999" customHeight="1" x14ac:dyDescent="0.2">
      <c r="A9" s="1051" t="s">
        <v>2</v>
      </c>
      <c r="B9" s="1058" t="s">
        <v>3</v>
      </c>
      <c r="C9" s="1059" t="s">
        <v>116</v>
      </c>
      <c r="D9" s="1059"/>
      <c r="E9" s="1060"/>
      <c r="F9" s="1061" t="s">
        <v>117</v>
      </c>
      <c r="G9" s="1059"/>
      <c r="H9" s="1059"/>
      <c r="I9" s="1060"/>
      <c r="J9" s="1062" t="s">
        <v>193</v>
      </c>
      <c r="K9" s="1063"/>
      <c r="L9" s="1063"/>
      <c r="M9" s="1064"/>
      <c r="Y9" s="484"/>
    </row>
    <row r="10" spans="1:25" ht="45.75" customHeight="1" x14ac:dyDescent="0.2">
      <c r="A10" s="1051"/>
      <c r="B10" s="1058"/>
      <c r="C10" s="521" t="s">
        <v>385</v>
      </c>
      <c r="D10" s="522" t="s">
        <v>382</v>
      </c>
      <c r="E10" s="521" t="s">
        <v>196</v>
      </c>
      <c r="F10" s="522" t="s">
        <v>380</v>
      </c>
      <c r="G10" s="521" t="s">
        <v>381</v>
      </c>
      <c r="H10" s="522" t="s">
        <v>382</v>
      </c>
      <c r="I10" s="521" t="s">
        <v>196</v>
      </c>
      <c r="J10" s="523" t="s">
        <v>384</v>
      </c>
      <c r="K10" s="524" t="s">
        <v>381</v>
      </c>
      <c r="L10" s="523" t="s">
        <v>382</v>
      </c>
      <c r="M10" s="478" t="s">
        <v>196</v>
      </c>
    </row>
    <row r="11" spans="1:25" s="508" customFormat="1" ht="15.75" x14ac:dyDescent="0.2">
      <c r="A11" s="506">
        <v>1</v>
      </c>
      <c r="B11" s="525">
        <v>2</v>
      </c>
      <c r="C11" s="525">
        <v>3</v>
      </c>
      <c r="D11" s="525">
        <v>4</v>
      </c>
      <c r="E11" s="525">
        <v>5</v>
      </c>
      <c r="F11" s="525">
        <v>6</v>
      </c>
      <c r="G11" s="525">
        <v>7</v>
      </c>
      <c r="H11" s="525">
        <v>8</v>
      </c>
      <c r="I11" s="525">
        <v>9</v>
      </c>
      <c r="J11" s="506">
        <v>10</v>
      </c>
      <c r="K11" s="506">
        <v>11</v>
      </c>
      <c r="L11" s="506">
        <v>12</v>
      </c>
      <c r="M11" s="506">
        <v>13</v>
      </c>
    </row>
    <row r="12" spans="1:25" s="508" customFormat="1" ht="18.75" x14ac:dyDescent="0.2">
      <c r="A12" s="499">
        <v>1</v>
      </c>
      <c r="B12" s="526" t="s">
        <v>890</v>
      </c>
      <c r="C12" s="527">
        <v>1239</v>
      </c>
      <c r="D12" s="527">
        <v>1239</v>
      </c>
      <c r="E12" s="527">
        <v>81458</v>
      </c>
      <c r="F12" s="527"/>
      <c r="G12" s="527">
        <v>0</v>
      </c>
      <c r="H12" s="527">
        <v>0</v>
      </c>
      <c r="I12" s="527">
        <v>0</v>
      </c>
      <c r="J12" s="506"/>
      <c r="K12" s="506"/>
      <c r="L12" s="506"/>
      <c r="M12" s="506"/>
    </row>
    <row r="13" spans="1:25" s="508" customFormat="1" ht="18.75" x14ac:dyDescent="0.2">
      <c r="A13" s="499">
        <v>2</v>
      </c>
      <c r="B13" s="526" t="s">
        <v>891</v>
      </c>
      <c r="C13" s="527">
        <v>1830</v>
      </c>
      <c r="D13" s="527">
        <v>1830</v>
      </c>
      <c r="E13" s="527">
        <v>184725</v>
      </c>
      <c r="F13" s="527"/>
      <c r="G13" s="527">
        <v>0</v>
      </c>
      <c r="H13" s="527">
        <v>0</v>
      </c>
      <c r="I13" s="527">
        <v>0</v>
      </c>
      <c r="J13" s="506"/>
      <c r="K13" s="506"/>
      <c r="L13" s="506"/>
      <c r="M13" s="506"/>
    </row>
    <row r="14" spans="1:25" s="508" customFormat="1" ht="18.75" x14ac:dyDescent="0.2">
      <c r="A14" s="499">
        <v>3</v>
      </c>
      <c r="B14" s="526" t="s">
        <v>892</v>
      </c>
      <c r="C14" s="527">
        <v>1964</v>
      </c>
      <c r="D14" s="527">
        <v>1964</v>
      </c>
      <c r="E14" s="527">
        <v>112231</v>
      </c>
      <c r="F14" s="527"/>
      <c r="G14" s="527">
        <v>0</v>
      </c>
      <c r="H14" s="527">
        <v>0</v>
      </c>
      <c r="I14" s="527">
        <v>0</v>
      </c>
      <c r="J14" s="506"/>
      <c r="K14" s="506"/>
      <c r="L14" s="506"/>
      <c r="M14" s="506"/>
    </row>
    <row r="15" spans="1:25" s="508" customFormat="1" ht="18.75" x14ac:dyDescent="0.2">
      <c r="A15" s="499">
        <v>4</v>
      </c>
      <c r="B15" s="526" t="s">
        <v>893</v>
      </c>
      <c r="C15" s="527">
        <v>2194</v>
      </c>
      <c r="D15" s="527">
        <v>2194</v>
      </c>
      <c r="E15" s="527">
        <v>105440</v>
      </c>
      <c r="F15" s="527"/>
      <c r="G15" s="527">
        <v>0</v>
      </c>
      <c r="H15" s="527">
        <v>0</v>
      </c>
      <c r="I15" s="527">
        <v>0</v>
      </c>
      <c r="J15" s="506"/>
      <c r="K15" s="506"/>
      <c r="L15" s="506"/>
      <c r="M15" s="506"/>
    </row>
    <row r="16" spans="1:25" s="508" customFormat="1" ht="18.75" x14ac:dyDescent="0.2">
      <c r="A16" s="499">
        <v>5</v>
      </c>
      <c r="B16" s="526" t="s">
        <v>894</v>
      </c>
      <c r="C16" s="527">
        <v>1131</v>
      </c>
      <c r="D16" s="527">
        <v>1131</v>
      </c>
      <c r="E16" s="527">
        <v>117859</v>
      </c>
      <c r="F16" s="527"/>
      <c r="G16" s="527">
        <v>0</v>
      </c>
      <c r="H16" s="527">
        <v>0</v>
      </c>
      <c r="I16" s="527">
        <v>0</v>
      </c>
      <c r="J16" s="506"/>
      <c r="K16" s="506"/>
      <c r="L16" s="506"/>
      <c r="M16" s="506"/>
    </row>
    <row r="17" spans="1:13" s="508" customFormat="1" ht="18.75" x14ac:dyDescent="0.2">
      <c r="A17" s="499">
        <v>6</v>
      </c>
      <c r="B17" s="526" t="s">
        <v>895</v>
      </c>
      <c r="C17" s="527">
        <v>897</v>
      </c>
      <c r="D17" s="527">
        <v>897</v>
      </c>
      <c r="E17" s="527">
        <v>40760</v>
      </c>
      <c r="F17" s="527"/>
      <c r="G17" s="527">
        <v>0</v>
      </c>
      <c r="H17" s="527">
        <v>0</v>
      </c>
      <c r="I17" s="527">
        <v>0</v>
      </c>
      <c r="J17" s="506"/>
      <c r="K17" s="506"/>
      <c r="L17" s="506"/>
      <c r="M17" s="506"/>
    </row>
    <row r="18" spans="1:13" s="508" customFormat="1" ht="18.75" x14ac:dyDescent="0.3">
      <c r="A18" s="499">
        <v>7</v>
      </c>
      <c r="B18" s="526" t="s">
        <v>896</v>
      </c>
      <c r="C18" s="527">
        <v>2385</v>
      </c>
      <c r="D18" s="527">
        <v>2385</v>
      </c>
      <c r="E18" s="527">
        <v>221329</v>
      </c>
      <c r="F18" s="512" t="s">
        <v>996</v>
      </c>
      <c r="G18" s="528">
        <v>1</v>
      </c>
      <c r="H18" s="529">
        <v>111</v>
      </c>
      <c r="I18" s="529">
        <v>16136</v>
      </c>
      <c r="J18" s="506"/>
      <c r="K18" s="506"/>
      <c r="L18" s="506"/>
      <c r="M18" s="506"/>
    </row>
    <row r="19" spans="1:13" s="508" customFormat="1" ht="18.75" x14ac:dyDescent="0.3">
      <c r="A19" s="499">
        <v>8</v>
      </c>
      <c r="B19" s="526" t="s">
        <v>897</v>
      </c>
      <c r="C19" s="527">
        <v>884</v>
      </c>
      <c r="D19" s="527">
        <v>884</v>
      </c>
      <c r="E19" s="527">
        <v>36719</v>
      </c>
      <c r="F19" s="512"/>
      <c r="G19" s="530">
        <v>0</v>
      </c>
      <c r="H19" s="529">
        <v>0</v>
      </c>
      <c r="I19" s="529">
        <v>0</v>
      </c>
      <c r="J19" s="506"/>
      <c r="K19" s="506"/>
      <c r="L19" s="506"/>
      <c r="M19" s="506"/>
    </row>
    <row r="20" spans="1:13" s="508" customFormat="1" ht="31.5" x14ac:dyDescent="0.2">
      <c r="A20" s="499">
        <v>9</v>
      </c>
      <c r="B20" s="526" t="s">
        <v>898</v>
      </c>
      <c r="C20" s="527">
        <v>1280</v>
      </c>
      <c r="D20" s="527">
        <v>1280</v>
      </c>
      <c r="E20" s="527">
        <v>73919</v>
      </c>
      <c r="F20" s="512" t="s">
        <v>997</v>
      </c>
      <c r="G20" s="528">
        <v>1</v>
      </c>
      <c r="H20" s="803">
        <v>56</v>
      </c>
      <c r="I20" s="803">
        <v>3540</v>
      </c>
      <c r="J20" s="506"/>
      <c r="K20" s="506"/>
      <c r="L20" s="506"/>
      <c r="M20" s="506"/>
    </row>
    <row r="21" spans="1:13" s="508" customFormat="1" ht="18.75" x14ac:dyDescent="0.3">
      <c r="A21" s="499">
        <v>10</v>
      </c>
      <c r="B21" s="526" t="s">
        <v>899</v>
      </c>
      <c r="C21" s="527">
        <v>797</v>
      </c>
      <c r="D21" s="527">
        <v>797</v>
      </c>
      <c r="E21" s="527">
        <v>85512</v>
      </c>
      <c r="F21" s="512" t="s">
        <v>998</v>
      </c>
      <c r="G21" s="528">
        <v>1</v>
      </c>
      <c r="H21" s="529">
        <v>176</v>
      </c>
      <c r="I21" s="529">
        <v>23884</v>
      </c>
      <c r="J21" s="506"/>
      <c r="K21" s="506"/>
      <c r="L21" s="506"/>
      <c r="M21" s="506"/>
    </row>
    <row r="22" spans="1:13" s="508" customFormat="1" ht="18.75" x14ac:dyDescent="0.2">
      <c r="A22" s="499">
        <v>11</v>
      </c>
      <c r="B22" s="526" t="s">
        <v>900</v>
      </c>
      <c r="C22" s="527">
        <v>1432</v>
      </c>
      <c r="D22" s="527">
        <v>1432</v>
      </c>
      <c r="E22" s="527">
        <v>79776</v>
      </c>
      <c r="F22" s="527"/>
      <c r="G22" s="527">
        <v>0</v>
      </c>
      <c r="H22" s="527">
        <v>0</v>
      </c>
      <c r="I22" s="527">
        <v>0</v>
      </c>
      <c r="J22" s="506"/>
      <c r="K22" s="506"/>
      <c r="L22" s="506"/>
      <c r="M22" s="506"/>
    </row>
    <row r="23" spans="1:13" ht="25.5" customHeight="1" x14ac:dyDescent="0.3">
      <c r="A23" s="499">
        <v>12</v>
      </c>
      <c r="B23" s="526" t="s">
        <v>901</v>
      </c>
      <c r="C23" s="531">
        <v>2344</v>
      </c>
      <c r="D23" s="531">
        <v>2344</v>
      </c>
      <c r="E23" s="531">
        <v>169361</v>
      </c>
      <c r="F23" s="531"/>
      <c r="G23" s="527">
        <v>0</v>
      </c>
      <c r="H23" s="527">
        <v>0</v>
      </c>
      <c r="I23" s="527">
        <v>0</v>
      </c>
      <c r="J23" s="506"/>
      <c r="K23" s="506"/>
      <c r="L23" s="94"/>
      <c r="M23" s="506"/>
    </row>
    <row r="24" spans="1:13" ht="18.75" x14ac:dyDescent="0.3">
      <c r="A24" s="499">
        <v>13</v>
      </c>
      <c r="B24" s="526" t="s">
        <v>902</v>
      </c>
      <c r="C24" s="531">
        <v>2268</v>
      </c>
      <c r="D24" s="531">
        <v>2268</v>
      </c>
      <c r="E24" s="531">
        <v>104098</v>
      </c>
      <c r="F24" s="531"/>
      <c r="G24" s="527">
        <v>0</v>
      </c>
      <c r="H24" s="527">
        <v>0</v>
      </c>
      <c r="I24" s="527">
        <v>0</v>
      </c>
      <c r="J24" s="506"/>
      <c r="K24" s="506"/>
      <c r="L24" s="94"/>
      <c r="M24" s="506"/>
    </row>
    <row r="25" spans="1:13" ht="18.75" x14ac:dyDescent="0.3">
      <c r="A25" s="499">
        <v>14</v>
      </c>
      <c r="B25" s="526" t="s">
        <v>903</v>
      </c>
      <c r="C25" s="531">
        <v>2212</v>
      </c>
      <c r="D25" s="531">
        <v>2212</v>
      </c>
      <c r="E25" s="531">
        <v>85312</v>
      </c>
      <c r="F25" s="531"/>
      <c r="G25" s="527">
        <v>0</v>
      </c>
      <c r="H25" s="527">
        <v>0</v>
      </c>
      <c r="I25" s="527">
        <v>0</v>
      </c>
      <c r="J25" s="506"/>
      <c r="K25" s="506"/>
      <c r="L25" s="94"/>
      <c r="M25" s="506"/>
    </row>
    <row r="26" spans="1:13" ht="18.75" x14ac:dyDescent="0.3">
      <c r="A26" s="499">
        <v>15</v>
      </c>
      <c r="B26" s="526" t="s">
        <v>904</v>
      </c>
      <c r="C26" s="531">
        <v>1482</v>
      </c>
      <c r="D26" s="531">
        <v>1482</v>
      </c>
      <c r="E26" s="531">
        <v>120639</v>
      </c>
      <c r="F26" s="531"/>
      <c r="G26" s="527">
        <v>0</v>
      </c>
      <c r="H26" s="527">
        <v>0</v>
      </c>
      <c r="I26" s="527">
        <v>0</v>
      </c>
      <c r="J26" s="506"/>
      <c r="K26" s="506"/>
      <c r="L26" s="94"/>
      <c r="M26" s="506"/>
    </row>
    <row r="27" spans="1:13" ht="18.75" x14ac:dyDescent="0.3">
      <c r="A27" s="499">
        <v>16</v>
      </c>
      <c r="B27" s="526" t="s">
        <v>905</v>
      </c>
      <c r="C27" s="531">
        <v>1833</v>
      </c>
      <c r="D27" s="531">
        <v>1833</v>
      </c>
      <c r="E27" s="531">
        <v>84052</v>
      </c>
      <c r="F27" s="531"/>
      <c r="G27" s="527">
        <v>0</v>
      </c>
      <c r="H27" s="527">
        <v>0</v>
      </c>
      <c r="I27" s="527">
        <v>0</v>
      </c>
      <c r="J27" s="506"/>
      <c r="K27" s="506"/>
      <c r="L27" s="94"/>
      <c r="M27" s="506"/>
    </row>
    <row r="28" spans="1:13" ht="18.75" x14ac:dyDescent="0.3">
      <c r="A28" s="499">
        <v>17</v>
      </c>
      <c r="B28" s="526" t="s">
        <v>906</v>
      </c>
      <c r="C28" s="531">
        <v>2019</v>
      </c>
      <c r="D28" s="531">
        <v>2019</v>
      </c>
      <c r="E28" s="531">
        <v>121040</v>
      </c>
      <c r="F28" s="531"/>
      <c r="G28" s="527">
        <v>0</v>
      </c>
      <c r="H28" s="527">
        <v>0</v>
      </c>
      <c r="I28" s="527">
        <v>0</v>
      </c>
      <c r="J28" s="506"/>
      <c r="K28" s="506"/>
      <c r="L28" s="94"/>
      <c r="M28" s="506"/>
    </row>
    <row r="29" spans="1:13" ht="18.75" x14ac:dyDescent="0.3">
      <c r="A29" s="499">
        <v>18</v>
      </c>
      <c r="B29" s="526" t="s">
        <v>907</v>
      </c>
      <c r="C29" s="531">
        <v>1386</v>
      </c>
      <c r="D29" s="531">
        <v>1386</v>
      </c>
      <c r="E29" s="531">
        <v>68350</v>
      </c>
      <c r="F29" s="531"/>
      <c r="G29" s="527">
        <v>0</v>
      </c>
      <c r="H29" s="527">
        <v>0</v>
      </c>
      <c r="I29" s="527">
        <v>0</v>
      </c>
      <c r="J29" s="506"/>
      <c r="K29" s="506"/>
      <c r="L29" s="94"/>
      <c r="M29" s="506"/>
    </row>
    <row r="30" spans="1:13" ht="18.75" x14ac:dyDescent="0.3">
      <c r="A30" s="499">
        <v>19</v>
      </c>
      <c r="B30" s="526" t="s">
        <v>908</v>
      </c>
      <c r="C30" s="531">
        <v>1809</v>
      </c>
      <c r="D30" s="531">
        <v>1809</v>
      </c>
      <c r="E30" s="531">
        <v>128817</v>
      </c>
      <c r="F30" s="531"/>
      <c r="G30" s="527">
        <v>0</v>
      </c>
      <c r="H30" s="527">
        <v>0</v>
      </c>
      <c r="I30" s="527">
        <v>0</v>
      </c>
      <c r="J30" s="506"/>
      <c r="K30" s="506"/>
      <c r="L30" s="94"/>
      <c r="M30" s="506"/>
    </row>
    <row r="31" spans="1:13" ht="18.75" x14ac:dyDescent="0.3">
      <c r="A31" s="499">
        <v>20</v>
      </c>
      <c r="B31" s="526" t="s">
        <v>909</v>
      </c>
      <c r="C31" s="531">
        <v>941</v>
      </c>
      <c r="D31" s="531">
        <v>941</v>
      </c>
      <c r="E31" s="531">
        <v>103639</v>
      </c>
      <c r="F31" s="531"/>
      <c r="G31" s="527">
        <v>0</v>
      </c>
      <c r="H31" s="527">
        <v>0</v>
      </c>
      <c r="I31" s="527">
        <v>0</v>
      </c>
      <c r="J31" s="506"/>
      <c r="K31" s="506"/>
      <c r="L31" s="94"/>
      <c r="M31" s="506"/>
    </row>
    <row r="32" spans="1:13" ht="18.75" x14ac:dyDescent="0.3">
      <c r="A32" s="499">
        <v>21</v>
      </c>
      <c r="B32" s="526" t="s">
        <v>910</v>
      </c>
      <c r="C32" s="531">
        <v>568</v>
      </c>
      <c r="D32" s="531">
        <v>568</v>
      </c>
      <c r="E32" s="531">
        <v>22401</v>
      </c>
      <c r="F32" s="531"/>
      <c r="G32" s="527">
        <v>0</v>
      </c>
      <c r="H32" s="527">
        <v>0</v>
      </c>
      <c r="I32" s="527">
        <v>0</v>
      </c>
      <c r="J32" s="506"/>
      <c r="K32" s="506"/>
      <c r="L32" s="94"/>
      <c r="M32" s="506"/>
    </row>
    <row r="33" spans="1:16" ht="15.75" customHeight="1" x14ac:dyDescent="0.3">
      <c r="A33" s="499">
        <v>22</v>
      </c>
      <c r="B33" s="526" t="s">
        <v>911</v>
      </c>
      <c r="C33" s="531">
        <v>2905</v>
      </c>
      <c r="D33" s="531">
        <v>2905</v>
      </c>
      <c r="E33" s="531">
        <v>141204</v>
      </c>
      <c r="F33" s="531"/>
      <c r="G33" s="527">
        <v>0</v>
      </c>
      <c r="H33" s="527">
        <v>0</v>
      </c>
      <c r="I33" s="527">
        <v>0</v>
      </c>
      <c r="J33" s="506"/>
      <c r="K33" s="506"/>
      <c r="L33" s="94"/>
      <c r="M33" s="506"/>
    </row>
    <row r="34" spans="1:16" ht="18.75" x14ac:dyDescent="0.3">
      <c r="A34" s="499">
        <v>23</v>
      </c>
      <c r="B34" s="526" t="s">
        <v>912</v>
      </c>
      <c r="C34" s="531">
        <v>1062</v>
      </c>
      <c r="D34" s="531">
        <v>1062</v>
      </c>
      <c r="E34" s="531">
        <v>130701</v>
      </c>
      <c r="F34" s="531" t="s">
        <v>996</v>
      </c>
      <c r="G34" s="527">
        <v>1</v>
      </c>
      <c r="H34" s="529">
        <v>217</v>
      </c>
      <c r="I34" s="529">
        <v>38555</v>
      </c>
      <c r="J34" s="506"/>
      <c r="K34" s="506"/>
      <c r="L34" s="94"/>
      <c r="M34" s="506"/>
    </row>
    <row r="35" spans="1:16" ht="18.75" x14ac:dyDescent="0.3">
      <c r="A35" s="499">
        <v>24</v>
      </c>
      <c r="B35" s="526" t="s">
        <v>913</v>
      </c>
      <c r="C35" s="531">
        <v>2655</v>
      </c>
      <c r="D35" s="531">
        <v>2655</v>
      </c>
      <c r="E35" s="531">
        <v>180808</v>
      </c>
      <c r="F35" s="531"/>
      <c r="G35" s="532">
        <v>0</v>
      </c>
      <c r="H35" s="527">
        <v>0</v>
      </c>
      <c r="I35" s="527">
        <v>0</v>
      </c>
      <c r="J35" s="506"/>
      <c r="K35" s="506"/>
      <c r="L35" s="94"/>
      <c r="M35" s="506"/>
    </row>
    <row r="36" spans="1:16" ht="18.75" x14ac:dyDescent="0.3">
      <c r="A36" s="499">
        <v>25</v>
      </c>
      <c r="B36" s="526" t="s">
        <v>919</v>
      </c>
      <c r="C36" s="531">
        <v>1807</v>
      </c>
      <c r="D36" s="531">
        <v>1807</v>
      </c>
      <c r="E36" s="531">
        <v>81276</v>
      </c>
      <c r="F36" s="531" t="s">
        <v>999</v>
      </c>
      <c r="G36" s="527">
        <v>1</v>
      </c>
      <c r="H36" s="529">
        <v>122</v>
      </c>
      <c r="I36" s="529">
        <v>10556</v>
      </c>
      <c r="J36" s="506"/>
      <c r="K36" s="506"/>
      <c r="L36" s="94"/>
      <c r="M36" s="506"/>
    </row>
    <row r="37" spans="1:16" ht="18.75" x14ac:dyDescent="0.3">
      <c r="A37" s="499">
        <v>26</v>
      </c>
      <c r="B37" s="526" t="s">
        <v>914</v>
      </c>
      <c r="C37" s="531">
        <v>1004</v>
      </c>
      <c r="D37" s="531">
        <v>1004</v>
      </c>
      <c r="E37" s="531">
        <v>38181</v>
      </c>
      <c r="F37" s="531"/>
      <c r="G37" s="527">
        <v>0</v>
      </c>
      <c r="H37" s="527">
        <v>0</v>
      </c>
      <c r="I37" s="531">
        <v>0</v>
      </c>
      <c r="J37" s="506"/>
      <c r="K37" s="506"/>
      <c r="L37" s="94"/>
      <c r="M37" s="506"/>
    </row>
    <row r="38" spans="1:16" ht="18.75" x14ac:dyDescent="0.3">
      <c r="A38" s="499">
        <v>27</v>
      </c>
      <c r="B38" s="526" t="s">
        <v>915</v>
      </c>
      <c r="C38" s="531">
        <v>1976</v>
      </c>
      <c r="D38" s="531">
        <v>1976</v>
      </c>
      <c r="E38" s="531">
        <v>97638</v>
      </c>
      <c r="F38" s="531"/>
      <c r="G38" s="527">
        <v>0</v>
      </c>
      <c r="H38" s="527">
        <v>0</v>
      </c>
      <c r="I38" s="531">
        <v>0</v>
      </c>
      <c r="J38" s="506"/>
      <c r="K38" s="506"/>
      <c r="L38" s="94"/>
      <c r="M38" s="506"/>
    </row>
    <row r="39" spans="1:16" ht="18.75" x14ac:dyDescent="0.3">
      <c r="A39" s="497" t="s">
        <v>18</v>
      </c>
      <c r="B39" s="533"/>
      <c r="C39" s="533">
        <f>SUM(C12:C38)</f>
        <v>44304</v>
      </c>
      <c r="D39" s="533">
        <f>SUM(D12:D38)</f>
        <v>44304</v>
      </c>
      <c r="E39" s="533">
        <f>SUM(E12:E38)</f>
        <v>2817245</v>
      </c>
      <c r="F39" s="533"/>
      <c r="G39" s="533">
        <v>5</v>
      </c>
      <c r="H39" s="533">
        <v>682</v>
      </c>
      <c r="I39" s="533">
        <v>92671</v>
      </c>
      <c r="J39" s="94"/>
      <c r="K39" s="94"/>
      <c r="L39" s="94"/>
      <c r="M39" s="94"/>
    </row>
    <row r="40" spans="1:16" x14ac:dyDescent="0.2">
      <c r="A40" s="502"/>
      <c r="B40" s="502"/>
      <c r="C40" s="502"/>
      <c r="D40" s="502"/>
      <c r="E40" s="502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</row>
    <row r="41" spans="1:16" x14ac:dyDescent="0.2">
      <c r="A41" s="494"/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</row>
    <row r="42" spans="1:16" x14ac:dyDescent="0.2">
      <c r="A42" s="494"/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</row>
    <row r="44" spans="1:16" x14ac:dyDescent="0.2">
      <c r="A44" s="1039"/>
      <c r="B44" s="1039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513"/>
      <c r="N44" s="1039"/>
      <c r="O44" s="1039"/>
      <c r="P44" s="1039"/>
    </row>
    <row r="45" spans="1:16" x14ac:dyDescent="0.2">
      <c r="A45" s="494"/>
      <c r="B45" s="494"/>
      <c r="C45" s="494"/>
      <c r="D45" s="494"/>
      <c r="E45" s="494"/>
      <c r="F45" s="494"/>
      <c r="G45" s="494"/>
      <c r="H45" s="494"/>
      <c r="I45" s="810" t="s">
        <v>13</v>
      </c>
      <c r="J45" s="810"/>
      <c r="K45" s="810"/>
      <c r="L45" s="810"/>
      <c r="M45" s="810"/>
      <c r="N45" s="494"/>
      <c r="O45" s="494"/>
      <c r="P45" s="494"/>
    </row>
    <row r="46" spans="1:16" ht="15.75" x14ac:dyDescent="0.25">
      <c r="A46" s="500"/>
      <c r="B46" s="500"/>
      <c r="C46" s="500"/>
      <c r="D46" s="500"/>
      <c r="E46" s="500"/>
      <c r="F46" s="500"/>
      <c r="G46" s="500"/>
      <c r="H46" s="500"/>
      <c r="I46" s="810" t="s">
        <v>14</v>
      </c>
      <c r="J46" s="810"/>
      <c r="K46" s="810"/>
      <c r="L46" s="810"/>
      <c r="M46" s="810"/>
      <c r="N46" s="503"/>
      <c r="O46" s="494"/>
      <c r="P46" s="494"/>
    </row>
    <row r="47" spans="1:16" ht="15.75" customHeight="1" x14ac:dyDescent="0.2">
      <c r="A47" s="503"/>
      <c r="B47" s="503"/>
      <c r="C47" s="503"/>
      <c r="D47" s="503"/>
      <c r="E47" s="503"/>
      <c r="F47" s="503"/>
      <c r="G47" s="503"/>
      <c r="H47" s="503"/>
      <c r="I47" s="810" t="s">
        <v>918</v>
      </c>
      <c r="J47" s="810"/>
      <c r="K47" s="810"/>
      <c r="L47" s="810"/>
      <c r="M47" s="810"/>
      <c r="N47" s="494"/>
      <c r="O47" s="494"/>
      <c r="P47" s="494"/>
    </row>
    <row r="48" spans="1:16" ht="15.6" customHeight="1" x14ac:dyDescent="0.25">
      <c r="A48" s="503"/>
      <c r="B48" s="503"/>
      <c r="C48" s="503"/>
      <c r="D48" s="503"/>
      <c r="E48" s="503"/>
      <c r="F48" s="503"/>
      <c r="G48" s="492" t="s">
        <v>12</v>
      </c>
      <c r="H48" s="503"/>
      <c r="I48" s="657"/>
      <c r="J48" s="207" t="s">
        <v>82</v>
      </c>
      <c r="K48" s="207"/>
      <c r="L48" s="207"/>
      <c r="M48" s="207"/>
      <c r="N48" s="503"/>
      <c r="O48" s="494"/>
      <c r="P48" s="494"/>
    </row>
    <row r="49" spans="1:16" x14ac:dyDescent="0.2">
      <c r="A49" s="494"/>
      <c r="B49" s="494"/>
      <c r="C49" s="494"/>
      <c r="D49" s="494"/>
      <c r="E49" s="494"/>
      <c r="F49" s="494"/>
      <c r="G49" s="494"/>
      <c r="L49" s="508"/>
      <c r="M49" s="508"/>
      <c r="N49" s="508"/>
      <c r="O49" s="508"/>
      <c r="P49" s="508"/>
    </row>
  </sheetData>
  <mergeCells count="14">
    <mergeCell ref="I45:M45"/>
    <mergeCell ref="I46:M46"/>
    <mergeCell ref="I47:M47"/>
    <mergeCell ref="N44:P44"/>
    <mergeCell ref="L1:M1"/>
    <mergeCell ref="A2:M2"/>
    <mergeCell ref="A3:M3"/>
    <mergeCell ref="A5:M5"/>
    <mergeCell ref="A44:L44"/>
    <mergeCell ref="A9:A10"/>
    <mergeCell ref="B9:B10"/>
    <mergeCell ref="C9:E9"/>
    <mergeCell ref="F9:I9"/>
    <mergeCell ref="J9:M9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1:L22"/>
  <sheetViews>
    <sheetView zoomScaleSheetLayoutView="84" workbookViewId="0">
      <selection activeCell="I5" sqref="I5:L5"/>
    </sheetView>
  </sheetViews>
  <sheetFormatPr defaultRowHeight="12.75" x14ac:dyDescent="0.2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  <col min="13" max="13" width="12.140625" customWidth="1"/>
  </cols>
  <sheetData>
    <row r="1" spans="1:12" ht="18" x14ac:dyDescent="0.35">
      <c r="A1" s="922" t="s">
        <v>0</v>
      </c>
      <c r="B1" s="922"/>
      <c r="C1" s="922"/>
      <c r="D1" s="922"/>
      <c r="E1" s="922"/>
      <c r="F1" s="922"/>
      <c r="G1" s="922"/>
      <c r="H1" s="922"/>
      <c r="I1" s="922"/>
      <c r="J1" s="1065" t="s">
        <v>519</v>
      </c>
      <c r="K1" s="1065"/>
    </row>
    <row r="2" spans="1:12" ht="21" x14ac:dyDescent="0.35">
      <c r="A2" s="923" t="s">
        <v>738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</row>
    <row r="3" spans="1:12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2" ht="27" customHeight="1" x14ac:dyDescent="0.3">
      <c r="A4" s="1066" t="s">
        <v>695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</row>
    <row r="5" spans="1:12" ht="15" x14ac:dyDescent="0.3">
      <c r="A5" s="197" t="s">
        <v>917</v>
      </c>
      <c r="B5" s="197" t="s">
        <v>916</v>
      </c>
      <c r="C5" s="197"/>
      <c r="D5" s="197"/>
      <c r="E5" s="197"/>
      <c r="F5" s="197"/>
      <c r="G5" s="197"/>
      <c r="H5" s="197"/>
      <c r="I5" s="939" t="s">
        <v>1186</v>
      </c>
      <c r="J5" s="939"/>
      <c r="K5" s="939"/>
      <c r="L5" s="939"/>
    </row>
    <row r="6" spans="1:12" ht="27.75" customHeight="1" x14ac:dyDescent="0.2">
      <c r="A6" s="985" t="s">
        <v>2</v>
      </c>
      <c r="B6" s="985" t="s">
        <v>3</v>
      </c>
      <c r="C6" s="985" t="s">
        <v>294</v>
      </c>
      <c r="D6" s="985" t="s">
        <v>295</v>
      </c>
      <c r="E6" s="985"/>
      <c r="F6" s="985"/>
      <c r="G6" s="985"/>
      <c r="H6" s="985"/>
      <c r="I6" s="986" t="s">
        <v>296</v>
      </c>
      <c r="J6" s="987"/>
      <c r="K6" s="988"/>
    </row>
    <row r="7" spans="1:12" ht="90" customHeight="1" x14ac:dyDescent="0.2">
      <c r="A7" s="985"/>
      <c r="B7" s="985"/>
      <c r="C7" s="985"/>
      <c r="D7" s="226" t="s">
        <v>297</v>
      </c>
      <c r="E7" s="226" t="s">
        <v>196</v>
      </c>
      <c r="F7" s="226" t="s">
        <v>445</v>
      </c>
      <c r="G7" s="226" t="s">
        <v>298</v>
      </c>
      <c r="H7" s="226" t="s">
        <v>419</v>
      </c>
      <c r="I7" s="226" t="s">
        <v>299</v>
      </c>
      <c r="J7" s="226" t="s">
        <v>300</v>
      </c>
      <c r="K7" s="226" t="s">
        <v>301</v>
      </c>
    </row>
    <row r="8" spans="1:12" ht="15" x14ac:dyDescent="0.2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200" t="s">
        <v>263</v>
      </c>
      <c r="H8" s="200" t="s">
        <v>264</v>
      </c>
      <c r="I8" s="200" t="s">
        <v>283</v>
      </c>
      <c r="J8" s="200" t="s">
        <v>284</v>
      </c>
      <c r="K8" s="200" t="s">
        <v>285</v>
      </c>
    </row>
    <row r="9" spans="1:12" ht="25.5" x14ac:dyDescent="0.2">
      <c r="A9" s="456">
        <v>1</v>
      </c>
      <c r="B9" s="457" t="s">
        <v>965</v>
      </c>
      <c r="C9" s="458">
        <v>1</v>
      </c>
      <c r="D9" s="459">
        <v>122</v>
      </c>
      <c r="E9" s="460">
        <v>10556</v>
      </c>
      <c r="F9" s="436">
        <v>29</v>
      </c>
      <c r="G9" s="461">
        <v>143</v>
      </c>
      <c r="H9" s="462">
        <f>SUM(F9:G9)</f>
        <v>172</v>
      </c>
      <c r="I9" s="463">
        <f>F9*10*1200/100000</f>
        <v>3.48</v>
      </c>
      <c r="J9" s="466">
        <v>17.16</v>
      </c>
      <c r="K9" s="467">
        <f>I9+J9</f>
        <v>20.64</v>
      </c>
    </row>
    <row r="10" spans="1:12" ht="25.5" x14ac:dyDescent="0.2">
      <c r="A10" s="456">
        <v>2</v>
      </c>
      <c r="B10" s="457" t="s">
        <v>973</v>
      </c>
      <c r="C10" s="458">
        <v>1</v>
      </c>
      <c r="D10" s="459">
        <v>111</v>
      </c>
      <c r="E10" s="460">
        <v>16136</v>
      </c>
      <c r="F10" s="462">
        <v>43</v>
      </c>
      <c r="G10" s="462">
        <v>144</v>
      </c>
      <c r="H10" s="462">
        <f>SUM(F10:G10)</f>
        <v>187</v>
      </c>
      <c r="I10" s="463">
        <f>F10*10*1200/100000</f>
        <v>5.16</v>
      </c>
      <c r="J10" s="468">
        <v>17.28</v>
      </c>
      <c r="K10" s="467">
        <f>I10+J10</f>
        <v>22.44</v>
      </c>
    </row>
    <row r="11" spans="1:12" ht="16.5" customHeight="1" x14ac:dyDescent="0.2">
      <c r="A11" s="456">
        <v>3</v>
      </c>
      <c r="B11" s="457" t="s">
        <v>981</v>
      </c>
      <c r="C11" s="458">
        <v>1</v>
      </c>
      <c r="D11" s="464">
        <v>176</v>
      </c>
      <c r="E11" s="460">
        <v>23884</v>
      </c>
      <c r="F11" s="462">
        <v>62</v>
      </c>
      <c r="G11" s="462">
        <v>120</v>
      </c>
      <c r="H11" s="462">
        <f>SUM(F11:G11)</f>
        <v>182</v>
      </c>
      <c r="I11" s="463">
        <f>F11*10*1200/100000</f>
        <v>7.44</v>
      </c>
      <c r="J11" s="468">
        <v>14.4</v>
      </c>
      <c r="K11" s="467">
        <f>I11+J11</f>
        <v>21.84</v>
      </c>
    </row>
    <row r="12" spans="1:12" ht="25.5" x14ac:dyDescent="0.2">
      <c r="A12" s="456">
        <v>4</v>
      </c>
      <c r="B12" s="457" t="s">
        <v>967</v>
      </c>
      <c r="C12" s="458">
        <v>1</v>
      </c>
      <c r="D12" s="459">
        <v>216</v>
      </c>
      <c r="E12" s="460">
        <v>38400</v>
      </c>
      <c r="F12" s="436">
        <v>99</v>
      </c>
      <c r="G12" s="461">
        <v>372</v>
      </c>
      <c r="H12" s="462">
        <f>SUM(F12:G12)</f>
        <v>471</v>
      </c>
      <c r="I12" s="463">
        <f>F12*10*1200/100000</f>
        <v>11.88</v>
      </c>
      <c r="J12" s="467">
        <v>44.64</v>
      </c>
      <c r="K12" s="467">
        <f>I12+J12</f>
        <v>56.52</v>
      </c>
    </row>
    <row r="13" spans="1:12" ht="25.5" x14ac:dyDescent="0.2">
      <c r="A13" s="456">
        <v>5</v>
      </c>
      <c r="B13" s="457" t="s">
        <v>980</v>
      </c>
      <c r="C13" s="458">
        <v>1</v>
      </c>
      <c r="D13" s="465">
        <v>56</v>
      </c>
      <c r="E13" s="460">
        <v>3540</v>
      </c>
      <c r="F13" s="462">
        <v>12</v>
      </c>
      <c r="G13" s="462">
        <v>62</v>
      </c>
      <c r="H13" s="462">
        <f>SUM(F13:G13)</f>
        <v>74</v>
      </c>
      <c r="I13" s="463">
        <f>F13*10*1200/100000</f>
        <v>1.44</v>
      </c>
      <c r="J13" s="468">
        <v>7.44</v>
      </c>
      <c r="K13" s="467">
        <f>I13+J13</f>
        <v>8.8800000000000008</v>
      </c>
    </row>
    <row r="14" spans="1:12" ht="21.75" customHeight="1" x14ac:dyDescent="0.2">
      <c r="A14" s="30" t="s">
        <v>18</v>
      </c>
      <c r="B14" s="9"/>
      <c r="C14" s="8">
        <f>SUM(C9:C13)</f>
        <v>5</v>
      </c>
      <c r="D14" s="9">
        <f>SUM(D9:D13)</f>
        <v>681</v>
      </c>
      <c r="E14" s="9">
        <f t="shared" ref="E14:K14" si="0">SUM(E9:E13)</f>
        <v>92516</v>
      </c>
      <c r="F14" s="9">
        <f t="shared" si="0"/>
        <v>245</v>
      </c>
      <c r="G14" s="9">
        <f t="shared" si="0"/>
        <v>841</v>
      </c>
      <c r="H14" s="9">
        <f t="shared" si="0"/>
        <v>1086</v>
      </c>
      <c r="I14" s="9">
        <f t="shared" si="0"/>
        <v>29.400000000000002</v>
      </c>
      <c r="J14" s="9">
        <f t="shared" si="0"/>
        <v>100.91999999999999</v>
      </c>
      <c r="K14" s="9">
        <f t="shared" si="0"/>
        <v>130.32</v>
      </c>
    </row>
    <row r="16" spans="1:12" x14ac:dyDescent="0.2">
      <c r="A16" s="14" t="s">
        <v>446</v>
      </c>
    </row>
    <row r="18" spans="1:12" s="488" customFormat="1" x14ac:dyDescent="0.2">
      <c r="A18" s="203"/>
      <c r="B18" s="203"/>
      <c r="C18" s="203"/>
      <c r="D18" s="203"/>
      <c r="I18" s="215"/>
      <c r="J18" s="215"/>
      <c r="K18" s="215"/>
    </row>
    <row r="19" spans="1:12" s="488" customFormat="1" ht="15" customHeight="1" x14ac:dyDescent="0.2">
      <c r="A19" s="203"/>
      <c r="B19" s="203"/>
      <c r="C19" s="203"/>
      <c r="D19" s="203"/>
      <c r="G19" s="810" t="s">
        <v>13</v>
      </c>
      <c r="H19" s="810"/>
      <c r="I19" s="810"/>
      <c r="J19" s="810"/>
      <c r="K19" s="810"/>
      <c r="L19" s="215"/>
    </row>
    <row r="20" spans="1:12" s="488" customFormat="1" ht="15" customHeight="1" x14ac:dyDescent="0.2">
      <c r="A20" s="203"/>
      <c r="B20" s="203"/>
      <c r="C20" s="203"/>
      <c r="D20" s="203"/>
      <c r="G20" s="810" t="s">
        <v>14</v>
      </c>
      <c r="H20" s="810"/>
      <c r="I20" s="810"/>
      <c r="J20" s="810"/>
      <c r="K20" s="810"/>
      <c r="L20" s="215"/>
    </row>
    <row r="21" spans="1:12" s="488" customFormat="1" x14ac:dyDescent="0.2">
      <c r="A21" s="203"/>
      <c r="C21" s="203"/>
      <c r="D21" s="203"/>
      <c r="G21" s="810" t="s">
        <v>918</v>
      </c>
      <c r="H21" s="810"/>
      <c r="I21" s="810"/>
      <c r="J21" s="810"/>
      <c r="K21" s="810"/>
    </row>
    <row r="22" spans="1:12" s="488" customFormat="1" ht="15" x14ac:dyDescent="0.25">
      <c r="A22" s="492" t="s">
        <v>12</v>
      </c>
      <c r="G22" s="657"/>
      <c r="H22" s="207" t="s">
        <v>82</v>
      </c>
      <c r="I22" s="207"/>
      <c r="J22" s="207"/>
      <c r="K22" s="207"/>
    </row>
  </sheetData>
  <mergeCells count="13">
    <mergeCell ref="G19:K19"/>
    <mergeCell ref="G20:K20"/>
    <mergeCell ref="G21:K21"/>
    <mergeCell ref="A6:A7"/>
    <mergeCell ref="B6:B7"/>
    <mergeCell ref="C6:C7"/>
    <mergeCell ref="D6:H6"/>
    <mergeCell ref="I6:K6"/>
    <mergeCell ref="A1:I1"/>
    <mergeCell ref="J1:K1"/>
    <mergeCell ref="A2:K2"/>
    <mergeCell ref="A4:K4"/>
    <mergeCell ref="I5:L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IV34"/>
  <sheetViews>
    <sheetView topLeftCell="A4" zoomScale="85" zoomScaleNormal="85" zoomScaleSheetLayoutView="86" workbookViewId="0">
      <selection activeCell="O14" sqref="O14"/>
    </sheetView>
  </sheetViews>
  <sheetFormatPr defaultRowHeight="12.75" x14ac:dyDescent="0.2"/>
  <cols>
    <col min="1" max="1" width="4.85546875" customWidth="1"/>
    <col min="2" max="2" width="19.5703125" customWidth="1"/>
    <col min="3" max="3" width="10.42578125" customWidth="1"/>
    <col min="4" max="4" width="8" customWidth="1"/>
    <col min="5" max="5" width="8.5703125" customWidth="1"/>
    <col min="6" max="6" width="9" customWidth="1"/>
    <col min="7" max="7" width="8.85546875" customWidth="1"/>
    <col min="8" max="8" width="8.140625" customWidth="1"/>
    <col min="9" max="9" width="9.140625" customWidth="1"/>
    <col min="10" max="10" width="9.85546875" customWidth="1"/>
    <col min="11" max="11" width="8.7109375" customWidth="1"/>
    <col min="12" max="13" width="7.85546875" customWidth="1"/>
    <col min="14" max="14" width="9.140625" customWidth="1"/>
    <col min="15" max="17" width="8.42578125" customWidth="1"/>
    <col min="18" max="18" width="9.2851562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870"/>
      <c r="H2" s="870"/>
      <c r="I2" s="870"/>
      <c r="J2" s="870"/>
      <c r="K2" s="870"/>
      <c r="L2" s="870"/>
      <c r="M2" s="870"/>
      <c r="N2" s="870"/>
      <c r="O2" s="870"/>
      <c r="P2" s="1"/>
      <c r="Q2" s="1"/>
      <c r="R2" s="1"/>
      <c r="T2" s="48" t="s">
        <v>57</v>
      </c>
    </row>
    <row r="3" spans="1:256" ht="15" x14ac:dyDescent="0.25">
      <c r="A3" s="808" t="s">
        <v>55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</row>
    <row r="4" spans="1:256" ht="15.75" x14ac:dyDescent="0.25">
      <c r="A4" s="865" t="s">
        <v>738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 x14ac:dyDescent="0.25">
      <c r="A6" s="872" t="s">
        <v>788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</row>
    <row r="7" spans="1:256" ht="15.7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56" ht="15.75" x14ac:dyDescent="0.25">
      <c r="A8" s="869" t="s">
        <v>159</v>
      </c>
      <c r="B8" s="869"/>
      <c r="C8" s="869"/>
      <c r="D8" s="32"/>
      <c r="E8" s="32"/>
      <c r="F8" s="3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1:256" ht="15" x14ac:dyDescent="0.25">
      <c r="U10" s="878" t="s">
        <v>457</v>
      </c>
      <c r="V10" s="878"/>
      <c r="W10" s="15"/>
      <c r="X10" s="15"/>
      <c r="Y10" s="15"/>
      <c r="Z10" s="15"/>
      <c r="AA10" s="15"/>
      <c r="AB10" s="861"/>
      <c r="AC10" s="861"/>
      <c r="AD10" s="861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 x14ac:dyDescent="0.2">
      <c r="A11" s="873" t="s">
        <v>2</v>
      </c>
      <c r="B11" s="873" t="s">
        <v>107</v>
      </c>
      <c r="C11" s="831" t="s">
        <v>151</v>
      </c>
      <c r="D11" s="832"/>
      <c r="E11" s="832"/>
      <c r="F11" s="833"/>
      <c r="G11" s="875" t="s">
        <v>1185</v>
      </c>
      <c r="H11" s="876"/>
      <c r="I11" s="876"/>
      <c r="J11" s="876"/>
      <c r="K11" s="876"/>
      <c r="L11" s="876"/>
      <c r="M11" s="876"/>
      <c r="N11" s="876"/>
      <c r="O11" s="876"/>
      <c r="P11" s="876"/>
      <c r="Q11" s="876"/>
      <c r="R11" s="877"/>
      <c r="S11" s="879" t="s">
        <v>241</v>
      </c>
      <c r="T11" s="880"/>
      <c r="U11" s="880"/>
      <c r="V11" s="880"/>
      <c r="W11" s="120"/>
      <c r="X11" s="120"/>
      <c r="Y11" s="120"/>
      <c r="Z11" s="120"/>
      <c r="AA11" s="120"/>
      <c r="AB11" s="120"/>
      <c r="AC11" s="120"/>
      <c r="AD11" s="120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">
      <c r="A12" s="874"/>
      <c r="B12" s="874"/>
      <c r="C12" s="834"/>
      <c r="D12" s="835"/>
      <c r="E12" s="835"/>
      <c r="F12" s="836"/>
      <c r="G12" s="818" t="s">
        <v>172</v>
      </c>
      <c r="H12" s="825"/>
      <c r="I12" s="825"/>
      <c r="J12" s="819"/>
      <c r="K12" s="818" t="s">
        <v>173</v>
      </c>
      <c r="L12" s="825"/>
      <c r="M12" s="825"/>
      <c r="N12" s="819"/>
      <c r="O12" s="816" t="s">
        <v>18</v>
      </c>
      <c r="P12" s="816"/>
      <c r="Q12" s="816"/>
      <c r="R12" s="816"/>
      <c r="S12" s="881"/>
      <c r="T12" s="882"/>
      <c r="U12" s="882"/>
      <c r="V12" s="882"/>
      <c r="W12" s="120"/>
      <c r="X12" s="120"/>
      <c r="Y12" s="120"/>
      <c r="Z12" s="120"/>
      <c r="AA12" s="120"/>
      <c r="AB12" s="120"/>
      <c r="AC12" s="120"/>
      <c r="AD12" s="120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 x14ac:dyDescent="0.2">
      <c r="A13" s="159"/>
      <c r="B13" s="159"/>
      <c r="C13" s="158" t="s">
        <v>242</v>
      </c>
      <c r="D13" s="158" t="s">
        <v>243</v>
      </c>
      <c r="E13" s="158" t="s">
        <v>244</v>
      </c>
      <c r="F13" s="158" t="s">
        <v>88</v>
      </c>
      <c r="G13" s="158" t="s">
        <v>242</v>
      </c>
      <c r="H13" s="158" t="s">
        <v>243</v>
      </c>
      <c r="I13" s="158" t="s">
        <v>244</v>
      </c>
      <c r="J13" s="158" t="s">
        <v>18</v>
      </c>
      <c r="K13" s="158" t="s">
        <v>242</v>
      </c>
      <c r="L13" s="158" t="s">
        <v>243</v>
      </c>
      <c r="M13" s="158" t="s">
        <v>244</v>
      </c>
      <c r="N13" s="158" t="s">
        <v>88</v>
      </c>
      <c r="O13" s="158" t="s">
        <v>242</v>
      </c>
      <c r="P13" s="158" t="s">
        <v>243</v>
      </c>
      <c r="Q13" s="158" t="s">
        <v>244</v>
      </c>
      <c r="R13" s="158" t="s">
        <v>18</v>
      </c>
      <c r="S13" s="5" t="s">
        <v>453</v>
      </c>
      <c r="T13" s="5" t="s">
        <v>454</v>
      </c>
      <c r="U13" s="5" t="s">
        <v>455</v>
      </c>
      <c r="V13" s="241" t="s">
        <v>456</v>
      </c>
      <c r="W13" s="120"/>
      <c r="X13" s="120"/>
      <c r="Y13" s="120"/>
      <c r="Z13" s="120"/>
      <c r="AA13" s="120"/>
      <c r="AB13" s="120"/>
      <c r="AC13" s="120"/>
      <c r="AD13" s="120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141">
        <v>1</v>
      </c>
      <c r="B14" s="160">
        <v>2</v>
      </c>
      <c r="C14" s="141">
        <v>3</v>
      </c>
      <c r="D14" s="141">
        <v>4</v>
      </c>
      <c r="E14" s="160">
        <v>5</v>
      </c>
      <c r="F14" s="141">
        <v>6</v>
      </c>
      <c r="G14" s="141">
        <v>7</v>
      </c>
      <c r="H14" s="160">
        <v>8</v>
      </c>
      <c r="I14" s="141">
        <v>9</v>
      </c>
      <c r="J14" s="141">
        <v>10</v>
      </c>
      <c r="K14" s="160">
        <v>11</v>
      </c>
      <c r="L14" s="141">
        <v>12</v>
      </c>
      <c r="M14" s="141">
        <v>13</v>
      </c>
      <c r="N14" s="160">
        <v>14</v>
      </c>
      <c r="O14" s="141">
        <v>15</v>
      </c>
      <c r="P14" s="141">
        <v>16</v>
      </c>
      <c r="Q14" s="160">
        <v>17</v>
      </c>
      <c r="R14" s="141">
        <v>18</v>
      </c>
      <c r="S14" s="141">
        <v>19</v>
      </c>
      <c r="T14" s="160">
        <v>20</v>
      </c>
      <c r="U14" s="141">
        <v>21</v>
      </c>
      <c r="V14" s="141">
        <v>22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25.5" x14ac:dyDescent="0.2">
      <c r="A15" s="18"/>
      <c r="B15" s="162" t="s">
        <v>229</v>
      </c>
      <c r="C15" s="18"/>
      <c r="D15" s="18"/>
      <c r="E15" s="18"/>
      <c r="F15" s="238"/>
      <c r="G15" s="8"/>
      <c r="H15" s="8"/>
      <c r="I15" s="8"/>
      <c r="J15" s="23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x14ac:dyDescent="0.2">
      <c r="A16" s="3">
        <v>1</v>
      </c>
      <c r="B16" s="162" t="s">
        <v>178</v>
      </c>
      <c r="C16" s="340">
        <f>F16*50%</f>
        <v>1400</v>
      </c>
      <c r="D16" s="340">
        <f>F16*12%</f>
        <v>336</v>
      </c>
      <c r="E16" s="340">
        <f>F16*38%</f>
        <v>1064</v>
      </c>
      <c r="F16" s="343">
        <v>2800</v>
      </c>
      <c r="G16" s="344">
        <f>J16*50%</f>
        <v>1350</v>
      </c>
      <c r="H16" s="344">
        <f>J16*12%</f>
        <v>324</v>
      </c>
      <c r="I16" s="344">
        <f>J16*38%</f>
        <v>1026</v>
      </c>
      <c r="J16" s="347">
        <v>2700</v>
      </c>
      <c r="K16" s="345"/>
      <c r="L16" s="345"/>
      <c r="M16" s="345"/>
      <c r="N16" s="345"/>
      <c r="O16" s="344">
        <f>R16*50%</f>
        <v>1350</v>
      </c>
      <c r="P16" s="344">
        <f>R16*12%</f>
        <v>324</v>
      </c>
      <c r="Q16" s="344">
        <f>R16*38%</f>
        <v>1026</v>
      </c>
      <c r="R16" s="339">
        <v>2700</v>
      </c>
      <c r="S16" s="344">
        <f>C16-O16</f>
        <v>50</v>
      </c>
      <c r="T16" s="333">
        <f>D16-P16</f>
        <v>12</v>
      </c>
      <c r="U16" s="333">
        <f>E16-Q16</f>
        <v>38</v>
      </c>
      <c r="V16" s="333">
        <f>SUM(S16:U16)</f>
        <v>100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7" x14ac:dyDescent="0.2">
      <c r="A17" s="3">
        <v>2</v>
      </c>
      <c r="B17" s="163" t="s">
        <v>123</v>
      </c>
      <c r="C17" s="342">
        <v>20529.5</v>
      </c>
      <c r="D17" s="342">
        <v>5400</v>
      </c>
      <c r="E17" s="342">
        <v>15651</v>
      </c>
      <c r="F17" s="343">
        <f>SUM(C17:E17)</f>
        <v>41580.5</v>
      </c>
      <c r="G17" s="344">
        <f>J17*50%</f>
        <v>11224.870428571428</v>
      </c>
      <c r="H17" s="344">
        <f>J17*12%</f>
        <v>2693.9689028571429</v>
      </c>
      <c r="I17" s="344">
        <f>J17*38%</f>
        <v>8530.9015257142855</v>
      </c>
      <c r="J17" s="347">
        <f>R17/4.9*2.69</f>
        <v>22449.740857142857</v>
      </c>
      <c r="K17" s="344">
        <f>N17*50%</f>
        <v>9221.9195714285725</v>
      </c>
      <c r="L17" s="344">
        <f>N17*12%</f>
        <v>2213.2606971428572</v>
      </c>
      <c r="M17" s="344">
        <f>N17*38%</f>
        <v>7008.6588742857148</v>
      </c>
      <c r="N17" s="339">
        <f>R17-J17</f>
        <v>18443.839142857145</v>
      </c>
      <c r="O17" s="344">
        <f>R17*50%</f>
        <v>20446.79</v>
      </c>
      <c r="P17" s="344">
        <f>R17*12%</f>
        <v>4907.2295999999997</v>
      </c>
      <c r="Q17" s="344">
        <f>R17*38%</f>
        <v>15539.5604</v>
      </c>
      <c r="R17" s="339">
        <v>40893.58</v>
      </c>
      <c r="S17" s="344">
        <f t="shared" ref="S17:S20" si="0">C17-O17</f>
        <v>82.709999999999127</v>
      </c>
      <c r="T17" s="333">
        <f t="shared" ref="T17:T20" si="1">D17-P17</f>
        <v>492.77040000000034</v>
      </c>
      <c r="U17" s="333">
        <f t="shared" ref="U17:U20" si="2">E17-Q17</f>
        <v>111.4395999999997</v>
      </c>
      <c r="V17" s="333">
        <f t="shared" ref="V17:V20" si="3">SUM(S17:U17)</f>
        <v>686.91999999999916</v>
      </c>
      <c r="Y17" s="869"/>
      <c r="Z17" s="869"/>
      <c r="AA17" s="869"/>
      <c r="AB17" s="869"/>
    </row>
    <row r="18" spans="1:37" ht="25.5" x14ac:dyDescent="0.2">
      <c r="A18" s="3">
        <v>3</v>
      </c>
      <c r="B18" s="162" t="s">
        <v>124</v>
      </c>
      <c r="C18" s="340">
        <f>F18*50%</f>
        <v>534.66</v>
      </c>
      <c r="D18" s="340">
        <f>F18*12%</f>
        <v>128.3184</v>
      </c>
      <c r="E18" s="340">
        <f>F18*38%</f>
        <v>406.34159999999997</v>
      </c>
      <c r="F18" s="343">
        <v>1069.32</v>
      </c>
      <c r="G18" s="344">
        <f>J18*50%</f>
        <v>500</v>
      </c>
      <c r="H18" s="344">
        <f>J18*12%</f>
        <v>120</v>
      </c>
      <c r="I18" s="344">
        <f>J18*38%</f>
        <v>380</v>
      </c>
      <c r="J18" s="347">
        <v>1000</v>
      </c>
      <c r="K18" s="345"/>
      <c r="L18" s="345"/>
      <c r="M18" s="345"/>
      <c r="N18" s="345"/>
      <c r="O18" s="344">
        <f>R18*50%</f>
        <v>500</v>
      </c>
      <c r="P18" s="344">
        <f>R18*12%</f>
        <v>120</v>
      </c>
      <c r="Q18" s="344">
        <f>R18*38%</f>
        <v>380</v>
      </c>
      <c r="R18" s="339">
        <v>1000</v>
      </c>
      <c r="S18" s="344">
        <f t="shared" si="0"/>
        <v>34.659999999999968</v>
      </c>
      <c r="T18" s="333">
        <f t="shared" si="1"/>
        <v>8.3183999999999969</v>
      </c>
      <c r="U18" s="333">
        <f t="shared" si="2"/>
        <v>26.341599999999971</v>
      </c>
      <c r="V18" s="333">
        <f t="shared" si="3"/>
        <v>69.319999999999936</v>
      </c>
    </row>
    <row r="19" spans="1:37" x14ac:dyDescent="0.2">
      <c r="A19" s="3">
        <v>4</v>
      </c>
      <c r="B19" s="163" t="s">
        <v>125</v>
      </c>
      <c r="C19" s="340">
        <f>F19*50%</f>
        <v>440</v>
      </c>
      <c r="D19" s="340">
        <f>F19*12%</f>
        <v>105.6</v>
      </c>
      <c r="E19" s="340">
        <f>F19*38%</f>
        <v>334.4</v>
      </c>
      <c r="F19" s="343">
        <v>880</v>
      </c>
      <c r="G19" s="344">
        <f>J19*50%</f>
        <v>404.60500000000002</v>
      </c>
      <c r="H19" s="344">
        <f>J19*12%</f>
        <v>97.105199999999996</v>
      </c>
      <c r="I19" s="344">
        <f>J19*38%</f>
        <v>307.49979999999999</v>
      </c>
      <c r="J19" s="347">
        <v>809.21</v>
      </c>
      <c r="K19" s="345"/>
      <c r="L19" s="345"/>
      <c r="M19" s="345"/>
      <c r="N19" s="345"/>
      <c r="O19" s="344">
        <f>R19*50%</f>
        <v>404.60500000000002</v>
      </c>
      <c r="P19" s="344">
        <f>R19*12%</f>
        <v>97.105199999999996</v>
      </c>
      <c r="Q19" s="344">
        <f>R19*38%</f>
        <v>307.49979999999999</v>
      </c>
      <c r="R19" s="339">
        <v>809.21</v>
      </c>
      <c r="S19" s="344">
        <f t="shared" si="0"/>
        <v>35.394999999999982</v>
      </c>
      <c r="T19" s="333">
        <f t="shared" si="1"/>
        <v>8.4947999999999979</v>
      </c>
      <c r="U19" s="333">
        <f t="shared" si="2"/>
        <v>26.900199999999984</v>
      </c>
      <c r="V19" s="333">
        <f t="shared" si="3"/>
        <v>70.789999999999964</v>
      </c>
    </row>
    <row r="20" spans="1:37" ht="25.5" x14ac:dyDescent="0.2">
      <c r="A20" s="3">
        <v>5</v>
      </c>
      <c r="B20" s="162" t="s">
        <v>126</v>
      </c>
      <c r="C20" s="342">
        <v>6689.51</v>
      </c>
      <c r="D20" s="342">
        <v>1601.25</v>
      </c>
      <c r="E20" s="342">
        <v>4902.5</v>
      </c>
      <c r="F20" s="343">
        <f>SUM(C20:E20)</f>
        <v>13193.26</v>
      </c>
      <c r="G20" s="344">
        <f>J20*50%</f>
        <v>3190.7449999999999</v>
      </c>
      <c r="H20" s="344">
        <f>J20*12%</f>
        <v>765.77879999999993</v>
      </c>
      <c r="I20" s="344">
        <f>J20*38%</f>
        <v>2424.9661999999998</v>
      </c>
      <c r="J20" s="346">
        <v>6381.49</v>
      </c>
      <c r="K20" s="344">
        <f>N20*50%</f>
        <v>3190.7474999999999</v>
      </c>
      <c r="L20" s="344">
        <f>N20*12%</f>
        <v>765.77940000000001</v>
      </c>
      <c r="M20" s="344">
        <f>N20*38%</f>
        <v>2424.9681</v>
      </c>
      <c r="N20" s="339">
        <f>R20/2</f>
        <v>6381.4949999999999</v>
      </c>
      <c r="O20" s="344">
        <f>R20*50%</f>
        <v>6381.4949999999999</v>
      </c>
      <c r="P20" s="344">
        <f>R20*12%</f>
        <v>1531.5588</v>
      </c>
      <c r="Q20" s="344">
        <f>R20*38%</f>
        <v>4849.9362000000001</v>
      </c>
      <c r="R20" s="339">
        <v>12762.99</v>
      </c>
      <c r="S20" s="344">
        <f t="shared" si="0"/>
        <v>308.01500000000033</v>
      </c>
      <c r="T20" s="333">
        <f t="shared" si="1"/>
        <v>69.691199999999981</v>
      </c>
      <c r="U20" s="333">
        <f t="shared" si="2"/>
        <v>52.563799999999901</v>
      </c>
      <c r="V20" s="333">
        <f t="shared" si="3"/>
        <v>430.27000000000021</v>
      </c>
    </row>
    <row r="21" spans="1:37" s="15" customFormat="1" x14ac:dyDescent="0.2">
      <c r="A21" s="237"/>
      <c r="B21" s="252" t="s">
        <v>88</v>
      </c>
      <c r="C21" s="340">
        <f t="shared" ref="C21:R21" si="4">SUM(C16:C20)</f>
        <v>29593.67</v>
      </c>
      <c r="D21" s="340">
        <f t="shared" si="4"/>
        <v>7571.1684000000005</v>
      </c>
      <c r="E21" s="340">
        <f t="shared" si="4"/>
        <v>22358.241600000001</v>
      </c>
      <c r="F21" s="340">
        <f t="shared" si="4"/>
        <v>59523.08</v>
      </c>
      <c r="G21" s="340">
        <f t="shared" si="4"/>
        <v>16670.220428571429</v>
      </c>
      <c r="H21" s="340">
        <f t="shared" si="4"/>
        <v>4000.8529028571429</v>
      </c>
      <c r="I21" s="340">
        <f t="shared" si="4"/>
        <v>12669.367525714286</v>
      </c>
      <c r="J21" s="340">
        <f t="shared" si="4"/>
        <v>33340.440857142858</v>
      </c>
      <c r="K21" s="340">
        <f t="shared" si="4"/>
        <v>12412.667071428572</v>
      </c>
      <c r="L21" s="340">
        <f t="shared" si="4"/>
        <v>2979.0400971428571</v>
      </c>
      <c r="M21" s="340">
        <f t="shared" si="4"/>
        <v>9433.6269742857148</v>
      </c>
      <c r="N21" s="340">
        <f t="shared" si="4"/>
        <v>24825.334142857144</v>
      </c>
      <c r="O21" s="340">
        <f t="shared" si="4"/>
        <v>29082.89</v>
      </c>
      <c r="P21" s="340">
        <f t="shared" si="4"/>
        <v>6979.8935999999994</v>
      </c>
      <c r="Q21" s="340">
        <f t="shared" si="4"/>
        <v>22102.996400000004</v>
      </c>
      <c r="R21" s="338">
        <f t="shared" si="4"/>
        <v>58165.78</v>
      </c>
      <c r="S21" s="344">
        <f t="shared" ref="S21" si="5">C21-O21</f>
        <v>510.77999999999884</v>
      </c>
      <c r="T21" s="333">
        <f t="shared" ref="T21" si="6">D21-P21</f>
        <v>591.27480000000105</v>
      </c>
      <c r="U21" s="333">
        <f t="shared" ref="U21" si="7">E21-Q21</f>
        <v>255.24519999999757</v>
      </c>
      <c r="V21" s="333">
        <f t="shared" ref="V21" si="8">SUM(S21:U21)</f>
        <v>1357.2999999999975</v>
      </c>
    </row>
    <row r="22" spans="1:37" ht="25.5" x14ac:dyDescent="0.2">
      <c r="A22" s="3"/>
      <c r="B22" s="164" t="s">
        <v>230</v>
      </c>
      <c r="C22" s="342"/>
      <c r="D22" s="342"/>
      <c r="E22" s="342"/>
      <c r="F22" s="341"/>
      <c r="G22" s="9"/>
      <c r="H22" s="9"/>
      <c r="I22" s="9"/>
      <c r="J22" s="23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37" x14ac:dyDescent="0.2">
      <c r="A23" s="3">
        <v>6</v>
      </c>
      <c r="B23" s="162" t="s">
        <v>180</v>
      </c>
      <c r="C23" s="342"/>
      <c r="D23" s="342"/>
      <c r="E23" s="342"/>
      <c r="F23" s="341"/>
      <c r="G23" s="9"/>
      <c r="H23" s="9"/>
      <c r="I23" s="9"/>
      <c r="J23" s="23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37" x14ac:dyDescent="0.2">
      <c r="A24" s="3">
        <v>7</v>
      </c>
      <c r="B24" s="163" t="s">
        <v>128</v>
      </c>
      <c r="C24" s="340">
        <f>F24*50%</f>
        <v>710.9</v>
      </c>
      <c r="D24" s="340">
        <f>F24*12%</f>
        <v>170.61599999999999</v>
      </c>
      <c r="E24" s="340">
        <f>F24*38%</f>
        <v>540.28399999999999</v>
      </c>
      <c r="F24" s="343">
        <v>1421.8</v>
      </c>
      <c r="G24" s="340">
        <f>J24*50%</f>
        <v>710.9</v>
      </c>
      <c r="H24" s="340">
        <f>J24*12%</f>
        <v>170.61599999999999</v>
      </c>
      <c r="I24" s="340">
        <f>J24*38%</f>
        <v>540.28399999999999</v>
      </c>
      <c r="J24" s="343">
        <v>1421.8</v>
      </c>
      <c r="K24" s="9"/>
      <c r="L24" s="9"/>
      <c r="M24" s="9"/>
      <c r="N24" s="9"/>
      <c r="O24" s="340">
        <f>R24*50%</f>
        <v>710.9</v>
      </c>
      <c r="P24" s="340">
        <f>R24*12%</f>
        <v>170.61599999999999</v>
      </c>
      <c r="Q24" s="340">
        <f>R24*38%</f>
        <v>540.28399999999999</v>
      </c>
      <c r="R24" s="343">
        <v>1421.8</v>
      </c>
      <c r="S24" s="344">
        <f t="shared" ref="S24" si="9">C24-O24</f>
        <v>0</v>
      </c>
      <c r="T24" s="333">
        <f t="shared" ref="T24" si="10">D24-P24</f>
        <v>0</v>
      </c>
      <c r="U24" s="333">
        <f t="shared" ref="U24" si="11">E24-Q24</f>
        <v>0</v>
      </c>
      <c r="V24" s="333">
        <f t="shared" ref="V24" si="12">SUM(S24:U24)</f>
        <v>0</v>
      </c>
    </row>
    <row r="25" spans="1:37" ht="25.5" x14ac:dyDescent="0.2">
      <c r="A25" s="3">
        <v>8</v>
      </c>
      <c r="B25" s="162" t="s">
        <v>841</v>
      </c>
      <c r="C25" s="342"/>
      <c r="D25" s="342"/>
      <c r="E25" s="342"/>
      <c r="F25" s="341"/>
      <c r="G25" s="9"/>
      <c r="H25" s="9"/>
      <c r="I25" s="9"/>
      <c r="J25" s="23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37" x14ac:dyDescent="0.2">
      <c r="A26" s="9"/>
      <c r="B26" s="163" t="s">
        <v>88</v>
      </c>
      <c r="C26" s="333">
        <f>SUM(C23:C25)</f>
        <v>710.9</v>
      </c>
      <c r="D26" s="333">
        <f>SUM(D23:D25)</f>
        <v>170.61599999999999</v>
      </c>
      <c r="E26" s="333">
        <f>SUM(E23:E25)</f>
        <v>540.28399999999999</v>
      </c>
      <c r="F26" s="333">
        <f>SUM(F23:F25)</f>
        <v>1421.8</v>
      </c>
      <c r="G26" s="9"/>
      <c r="H26" s="9"/>
      <c r="I26" s="9"/>
      <c r="J26" s="23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37" x14ac:dyDescent="0.2">
      <c r="A27" s="9"/>
      <c r="B27" s="163" t="s">
        <v>34</v>
      </c>
      <c r="C27" s="333">
        <f t="shared" ref="C27:R27" si="13">C26+C21</f>
        <v>30304.57</v>
      </c>
      <c r="D27" s="333">
        <f t="shared" si="13"/>
        <v>7741.7844000000005</v>
      </c>
      <c r="E27" s="333">
        <f t="shared" si="13"/>
        <v>22898.525600000001</v>
      </c>
      <c r="F27" s="333">
        <f t="shared" si="13"/>
        <v>60944.880000000005</v>
      </c>
      <c r="G27" s="333">
        <f t="shared" si="13"/>
        <v>16670.220428571429</v>
      </c>
      <c r="H27" s="333">
        <f t="shared" si="13"/>
        <v>4000.8529028571429</v>
      </c>
      <c r="I27" s="333">
        <f t="shared" si="13"/>
        <v>12669.367525714286</v>
      </c>
      <c r="J27" s="333">
        <f t="shared" si="13"/>
        <v>33340.440857142858</v>
      </c>
      <c r="K27" s="333">
        <f t="shared" si="13"/>
        <v>12412.667071428572</v>
      </c>
      <c r="L27" s="333">
        <f t="shared" si="13"/>
        <v>2979.0400971428571</v>
      </c>
      <c r="M27" s="333">
        <f t="shared" si="13"/>
        <v>9433.6269742857148</v>
      </c>
      <c r="N27" s="333">
        <f t="shared" si="13"/>
        <v>24825.334142857144</v>
      </c>
      <c r="O27" s="333">
        <f t="shared" si="13"/>
        <v>29082.89</v>
      </c>
      <c r="P27" s="333">
        <f t="shared" si="13"/>
        <v>6979.8935999999994</v>
      </c>
      <c r="Q27" s="333">
        <f t="shared" si="13"/>
        <v>22102.996400000004</v>
      </c>
      <c r="R27" s="333">
        <f t="shared" si="13"/>
        <v>58165.78</v>
      </c>
      <c r="S27" s="344">
        <f t="shared" ref="S27" si="14">C27-O27</f>
        <v>1221.6800000000003</v>
      </c>
      <c r="T27" s="333">
        <f t="shared" ref="T27" si="15">D27-P27</f>
        <v>761.89080000000104</v>
      </c>
      <c r="U27" s="333">
        <f t="shared" ref="U27" si="16">E27-Q27</f>
        <v>795.52919999999722</v>
      </c>
      <c r="V27" s="333">
        <f t="shared" ref="V27" si="17">SUM(S27:U27)</f>
        <v>2779.0999999999985</v>
      </c>
    </row>
    <row r="29" spans="1:37" s="488" customFormat="1" ht="25.5" customHeight="1" x14ac:dyDescent="0.2">
      <c r="A29" s="14"/>
      <c r="B29" s="14"/>
      <c r="C29" s="381"/>
      <c r="D29" s="381"/>
      <c r="E29" s="38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563"/>
      <c r="T29" s="563"/>
      <c r="U29" s="563"/>
      <c r="V29" s="14"/>
      <c r="W29" s="569"/>
      <c r="X29" s="569"/>
      <c r="Y29" s="569"/>
      <c r="Z29" s="569"/>
      <c r="AA29" s="569"/>
      <c r="AE29" s="569"/>
      <c r="AF29" s="569"/>
    </row>
    <row r="30" spans="1:37" s="488" customFormat="1" ht="12.75" customHeight="1" x14ac:dyDescent="0.2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9"/>
      <c r="AF30" s="569"/>
    </row>
    <row r="31" spans="1:37" s="488" customFormat="1" ht="12.75" customHeight="1" x14ac:dyDescent="0.2">
      <c r="A31" s="563"/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14"/>
      <c r="P31" s="810" t="s">
        <v>13</v>
      </c>
      <c r="Q31" s="810"/>
      <c r="R31" s="810"/>
      <c r="S31" s="810"/>
      <c r="T31" s="810"/>
      <c r="U31" s="563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</row>
    <row r="32" spans="1:37" s="488" customFormat="1" ht="12.75" customHeight="1" x14ac:dyDescent="0.25">
      <c r="A32" s="14"/>
      <c r="B32" s="492" t="s">
        <v>12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63"/>
      <c r="P32" s="810" t="s">
        <v>14</v>
      </c>
      <c r="Q32" s="810"/>
      <c r="R32" s="810"/>
      <c r="S32" s="810"/>
      <c r="T32" s="810"/>
      <c r="U32" s="563"/>
      <c r="V32" s="565"/>
      <c r="W32" s="14"/>
      <c r="X32" s="14"/>
      <c r="Y32" s="14"/>
      <c r="Z32" s="14"/>
      <c r="AE32" s="14"/>
      <c r="AF32" s="14"/>
    </row>
    <row r="33" spans="15:21" x14ac:dyDescent="0.2">
      <c r="O33" s="810" t="s">
        <v>918</v>
      </c>
      <c r="P33" s="810"/>
      <c r="Q33" s="810"/>
      <c r="R33" s="810"/>
      <c r="S33" s="810"/>
      <c r="T33" s="810"/>
      <c r="U33" s="810"/>
    </row>
    <row r="34" spans="15:21" x14ac:dyDescent="0.2">
      <c r="O34" s="811" t="s">
        <v>82</v>
      </c>
      <c r="P34" s="811"/>
      <c r="Q34" s="811"/>
      <c r="R34" s="811"/>
      <c r="S34" s="811"/>
      <c r="T34" s="811"/>
      <c r="U34" s="811"/>
    </row>
  </sheetData>
  <mergeCells count="20">
    <mergeCell ref="Y17:AB17"/>
    <mergeCell ref="G11:R11"/>
    <mergeCell ref="U10:V10"/>
    <mergeCell ref="S11:V12"/>
    <mergeCell ref="AB10:AD10"/>
    <mergeCell ref="O12:R12"/>
    <mergeCell ref="P31:T31"/>
    <mergeCell ref="P32:T32"/>
    <mergeCell ref="O33:U33"/>
    <mergeCell ref="O34:U34"/>
    <mergeCell ref="G2:O2"/>
    <mergeCell ref="A3:U3"/>
    <mergeCell ref="A4:U4"/>
    <mergeCell ref="A6:U6"/>
    <mergeCell ref="A8:C8"/>
    <mergeCell ref="A11:A12"/>
    <mergeCell ref="B11:B12"/>
    <mergeCell ref="C11:F12"/>
    <mergeCell ref="G12:J12"/>
    <mergeCell ref="K12:N12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1:O16"/>
  <sheetViews>
    <sheetView zoomScaleSheetLayoutView="80" workbookViewId="0">
      <selection activeCell="L5" sqref="L5:O5"/>
    </sheetView>
  </sheetViews>
  <sheetFormatPr defaultRowHeight="12.75" x14ac:dyDescent="0.2"/>
  <cols>
    <col min="1" max="1" width="7.85546875" customWidth="1"/>
    <col min="4" max="4" width="14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  <col min="16" max="16" width="11.5703125" customWidth="1"/>
    <col min="17" max="17" width="12" customWidth="1"/>
    <col min="18" max="18" width="11.5703125" customWidth="1"/>
    <col min="19" max="19" width="14.42578125" customWidth="1"/>
  </cols>
  <sheetData>
    <row r="1" spans="1:15" ht="18" x14ac:dyDescent="0.35">
      <c r="A1" s="922" t="s">
        <v>0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234" t="s">
        <v>521</v>
      </c>
    </row>
    <row r="2" spans="1:15" ht="21" x14ac:dyDescent="0.35">
      <c r="A2" s="923" t="s">
        <v>738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</row>
    <row r="3" spans="1:15" ht="15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5" ht="18" x14ac:dyDescent="0.35">
      <c r="A4" s="922" t="s">
        <v>520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</row>
    <row r="5" spans="1:15" ht="15" x14ac:dyDescent="0.3">
      <c r="A5" s="197" t="s">
        <v>917</v>
      </c>
      <c r="B5" s="197" t="s">
        <v>916</v>
      </c>
      <c r="C5" s="197"/>
      <c r="D5" s="197"/>
      <c r="E5" s="197"/>
      <c r="F5" s="197"/>
      <c r="G5" s="197"/>
      <c r="H5" s="197"/>
      <c r="I5" s="197"/>
      <c r="J5" s="197"/>
      <c r="K5" s="196"/>
      <c r="L5" s="939" t="s">
        <v>1186</v>
      </c>
      <c r="M5" s="939"/>
      <c r="N5" s="939"/>
      <c r="O5" s="939"/>
    </row>
    <row r="6" spans="1:15" ht="44.25" customHeight="1" x14ac:dyDescent="0.2">
      <c r="A6" s="985" t="s">
        <v>2</v>
      </c>
      <c r="B6" s="985" t="s">
        <v>3</v>
      </c>
      <c r="C6" s="985" t="s">
        <v>302</v>
      </c>
      <c r="D6" s="991" t="s">
        <v>303</v>
      </c>
      <c r="E6" s="991" t="s">
        <v>304</v>
      </c>
      <c r="F6" s="991" t="s">
        <v>305</v>
      </c>
      <c r="G6" s="991" t="s">
        <v>306</v>
      </c>
      <c r="H6" s="985" t="s">
        <v>307</v>
      </c>
      <c r="I6" s="985"/>
      <c r="J6" s="985" t="s">
        <v>308</v>
      </c>
      <c r="K6" s="985"/>
      <c r="L6" s="985" t="s">
        <v>309</v>
      </c>
      <c r="M6" s="985"/>
      <c r="N6" s="985" t="s">
        <v>310</v>
      </c>
      <c r="O6" s="985"/>
    </row>
    <row r="7" spans="1:15" ht="54" customHeight="1" x14ac:dyDescent="0.2">
      <c r="A7" s="985"/>
      <c r="B7" s="985"/>
      <c r="C7" s="985"/>
      <c r="D7" s="992"/>
      <c r="E7" s="992"/>
      <c r="F7" s="992"/>
      <c r="G7" s="992"/>
      <c r="H7" s="226" t="s">
        <v>311</v>
      </c>
      <c r="I7" s="226" t="s">
        <v>312</v>
      </c>
      <c r="J7" s="226" t="s">
        <v>311</v>
      </c>
      <c r="K7" s="226" t="s">
        <v>312</v>
      </c>
      <c r="L7" s="226" t="s">
        <v>311</v>
      </c>
      <c r="M7" s="226" t="s">
        <v>312</v>
      </c>
      <c r="N7" s="226" t="s">
        <v>311</v>
      </c>
      <c r="O7" s="226" t="s">
        <v>312</v>
      </c>
    </row>
    <row r="8" spans="1:15" ht="15" x14ac:dyDescent="0.2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200" t="s">
        <v>263</v>
      </c>
      <c r="H8" s="200" t="s">
        <v>264</v>
      </c>
      <c r="I8" s="200" t="s">
        <v>283</v>
      </c>
      <c r="J8" s="200" t="s">
        <v>284</v>
      </c>
      <c r="K8" s="200" t="s">
        <v>285</v>
      </c>
      <c r="L8" s="200" t="s">
        <v>313</v>
      </c>
      <c r="M8" s="200" t="s">
        <v>314</v>
      </c>
      <c r="N8" s="200" t="s">
        <v>315</v>
      </c>
      <c r="O8" s="200" t="s">
        <v>316</v>
      </c>
    </row>
    <row r="9" spans="1:15" ht="30" x14ac:dyDescent="0.2">
      <c r="A9" s="93">
        <v>1</v>
      </c>
      <c r="B9" s="200" t="s">
        <v>899</v>
      </c>
      <c r="C9" s="200">
        <v>1</v>
      </c>
      <c r="D9" s="200" t="s">
        <v>992</v>
      </c>
      <c r="E9" s="370">
        <v>176</v>
      </c>
      <c r="F9" s="370">
        <v>23884</v>
      </c>
      <c r="G9" s="370" t="s">
        <v>994</v>
      </c>
      <c r="H9" s="370">
        <v>360.66</v>
      </c>
      <c r="I9" s="370">
        <v>323.57</v>
      </c>
      <c r="J9" s="370">
        <v>138.93</v>
      </c>
      <c r="K9" s="370">
        <v>138.93</v>
      </c>
      <c r="L9" s="370">
        <v>5.21</v>
      </c>
      <c r="M9" s="370">
        <v>5.21</v>
      </c>
      <c r="N9" s="370" t="s">
        <v>926</v>
      </c>
      <c r="O9" s="370" t="s">
        <v>926</v>
      </c>
    </row>
    <row r="10" spans="1:15" ht="15" x14ac:dyDescent="0.2">
      <c r="A10" s="93">
        <v>2</v>
      </c>
      <c r="B10" s="200" t="s">
        <v>912</v>
      </c>
      <c r="C10" s="200">
        <v>1</v>
      </c>
      <c r="D10" s="200" t="s">
        <v>993</v>
      </c>
      <c r="E10" s="370">
        <v>216</v>
      </c>
      <c r="F10" s="370">
        <v>38400</v>
      </c>
      <c r="G10" s="370" t="s">
        <v>995</v>
      </c>
      <c r="H10" s="370">
        <v>838.27</v>
      </c>
      <c r="I10" s="370">
        <v>801.31</v>
      </c>
      <c r="J10" s="370">
        <v>230.95</v>
      </c>
      <c r="K10" s="370">
        <v>230.95</v>
      </c>
      <c r="L10" s="370">
        <v>8.32</v>
      </c>
      <c r="M10" s="370">
        <v>8.32</v>
      </c>
      <c r="N10" s="370" t="s">
        <v>926</v>
      </c>
      <c r="O10" s="370" t="s">
        <v>926</v>
      </c>
    </row>
    <row r="11" spans="1:15" x14ac:dyDescent="0.2">
      <c r="A11" s="91" t="s">
        <v>18</v>
      </c>
      <c r="B11" s="9"/>
      <c r="C11" s="9"/>
      <c r="D11" s="9"/>
      <c r="E11" s="744">
        <f>SUM(E9:E10)</f>
        <v>392</v>
      </c>
      <c r="F11" s="744">
        <f>SUM(F9:F10)</f>
        <v>62284</v>
      </c>
      <c r="G11" s="744"/>
      <c r="H11" s="744">
        <f>SUM(H9:H10)</f>
        <v>1198.93</v>
      </c>
      <c r="I11" s="744">
        <f t="shared" ref="I11:M11" si="0">SUM(I9:I10)</f>
        <v>1124.8799999999999</v>
      </c>
      <c r="J11" s="744">
        <f t="shared" si="0"/>
        <v>369.88</v>
      </c>
      <c r="K11" s="744">
        <f t="shared" si="0"/>
        <v>369.88</v>
      </c>
      <c r="L11" s="744">
        <f t="shared" si="0"/>
        <v>13.530000000000001</v>
      </c>
      <c r="M11" s="744">
        <f t="shared" si="0"/>
        <v>13.530000000000001</v>
      </c>
      <c r="N11" s="744"/>
      <c r="O11" s="744"/>
    </row>
    <row r="12" spans="1:15" ht="38.25" customHeight="1" x14ac:dyDescent="0.2"/>
    <row r="13" spans="1:15" s="488" customFormat="1" ht="12.75" customHeight="1" x14ac:dyDescent="0.2">
      <c r="A13" s="203"/>
      <c r="B13" s="203"/>
      <c r="C13" s="203"/>
      <c r="D13" s="203"/>
      <c r="J13" s="810" t="s">
        <v>13</v>
      </c>
      <c r="K13" s="810"/>
      <c r="L13" s="810"/>
      <c r="M13" s="810"/>
      <c r="N13" s="810"/>
      <c r="O13" s="215"/>
    </row>
    <row r="14" spans="1:15" s="488" customFormat="1" ht="12.75" customHeight="1" x14ac:dyDescent="0.2">
      <c r="A14" s="203"/>
      <c r="B14" s="203"/>
      <c r="C14" s="203"/>
      <c r="D14" s="203"/>
      <c r="J14" s="810" t="s">
        <v>14</v>
      </c>
      <c r="K14" s="810"/>
      <c r="L14" s="810"/>
      <c r="M14" s="810"/>
      <c r="N14" s="810"/>
      <c r="O14" s="215"/>
    </row>
    <row r="15" spans="1:15" s="488" customFormat="1" ht="12.75" customHeight="1" x14ac:dyDescent="0.2">
      <c r="A15" s="203"/>
      <c r="B15" s="203"/>
      <c r="C15" s="203"/>
      <c r="D15" s="203"/>
      <c r="J15" s="810" t="s">
        <v>918</v>
      </c>
      <c r="K15" s="810"/>
      <c r="L15" s="810"/>
      <c r="M15" s="810"/>
      <c r="N15" s="810"/>
      <c r="O15" s="215"/>
    </row>
    <row r="16" spans="1:15" s="488" customFormat="1" ht="15" x14ac:dyDescent="0.25">
      <c r="A16" s="492" t="s">
        <v>12</v>
      </c>
      <c r="C16" s="203"/>
      <c r="D16" s="203"/>
      <c r="J16" s="657"/>
      <c r="K16" s="207" t="s">
        <v>82</v>
      </c>
      <c r="L16" s="207"/>
      <c r="M16" s="207"/>
      <c r="N16" s="207"/>
      <c r="O16" s="207"/>
    </row>
  </sheetData>
  <mergeCells count="18">
    <mergeCell ref="J13:N13"/>
    <mergeCell ref="J14:N14"/>
    <mergeCell ref="J15:N15"/>
    <mergeCell ref="A1:N1"/>
    <mergeCell ref="A2:O2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  <mergeCell ref="L5:O5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P47"/>
  <sheetViews>
    <sheetView zoomScale="80" zoomScaleNormal="80" workbookViewId="0">
      <selection activeCell="Q16" sqref="P16:Q16"/>
    </sheetView>
  </sheetViews>
  <sheetFormatPr defaultRowHeight="15" x14ac:dyDescent="0.25"/>
  <cols>
    <col min="1" max="1" width="9.140625" style="574"/>
    <col min="2" max="2" width="13.85546875" style="574" customWidth="1"/>
    <col min="3" max="4" width="9.140625" style="574"/>
    <col min="5" max="16" width="11.42578125" style="574" customWidth="1"/>
    <col min="17" max="16384" width="9.140625" style="574"/>
  </cols>
  <sheetData>
    <row r="1" spans="1:16" x14ac:dyDescent="0.25">
      <c r="A1" s="472"/>
      <c r="B1" s="472"/>
      <c r="C1" s="472"/>
      <c r="D1" s="472"/>
      <c r="E1" s="472"/>
      <c r="F1" s="472"/>
      <c r="G1" s="472"/>
      <c r="H1" s="1067"/>
      <c r="I1" s="1067"/>
      <c r="J1" s="472"/>
      <c r="K1" s="472"/>
      <c r="L1" s="573" t="s">
        <v>522</v>
      </c>
      <c r="M1" s="472"/>
      <c r="N1" s="472"/>
      <c r="O1" s="472"/>
      <c r="P1" s="472"/>
    </row>
    <row r="2" spans="1:16" x14ac:dyDescent="0.25">
      <c r="A2" s="472"/>
      <c r="B2" s="472"/>
      <c r="C2" s="472"/>
      <c r="D2" s="1067" t="s">
        <v>476</v>
      </c>
      <c r="E2" s="1067"/>
      <c r="F2" s="1067"/>
      <c r="G2" s="1067"/>
      <c r="H2" s="575"/>
      <c r="I2" s="575"/>
      <c r="J2" s="472"/>
      <c r="K2" s="472"/>
      <c r="L2" s="573"/>
      <c r="M2" s="472"/>
      <c r="N2" s="472"/>
      <c r="O2" s="472"/>
      <c r="P2" s="472"/>
    </row>
    <row r="3" spans="1:16" ht="15.75" x14ac:dyDescent="0.25">
      <c r="A3" s="1068" t="s">
        <v>742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576"/>
      <c r="O3" s="576"/>
      <c r="P3" s="576"/>
    </row>
    <row r="4" spans="1:16" ht="15.75" x14ac:dyDescent="0.25">
      <c r="A4" s="1068" t="s">
        <v>858</v>
      </c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576"/>
      <c r="O4" s="576"/>
      <c r="P4" s="576"/>
    </row>
    <row r="6" spans="1:16" ht="15.75" x14ac:dyDescent="0.3">
      <c r="A6" s="197" t="s">
        <v>917</v>
      </c>
      <c r="B6" s="197" t="s">
        <v>916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</row>
    <row r="8" spans="1:16" x14ac:dyDescent="0.25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1069" t="s">
        <v>1186</v>
      </c>
      <c r="L8" s="1069"/>
      <c r="M8" s="1069"/>
      <c r="N8" s="1069"/>
      <c r="O8" s="1069"/>
      <c r="P8" s="1069"/>
    </row>
    <row r="9" spans="1:16" x14ac:dyDescent="0.25">
      <c r="A9" s="1028" t="s">
        <v>2</v>
      </c>
      <c r="B9" s="1028" t="s">
        <v>3</v>
      </c>
      <c r="C9" s="1070" t="s">
        <v>266</v>
      </c>
      <c r="D9" s="1070" t="s">
        <v>267</v>
      </c>
      <c r="E9" s="1070" t="s">
        <v>268</v>
      </c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</row>
    <row r="10" spans="1:16" x14ac:dyDescent="0.25">
      <c r="A10" s="1028"/>
      <c r="B10" s="1028"/>
      <c r="C10" s="1070"/>
      <c r="D10" s="1070"/>
      <c r="E10" s="578" t="s">
        <v>821</v>
      </c>
      <c r="F10" s="578" t="s">
        <v>269</v>
      </c>
      <c r="G10" s="578" t="s">
        <v>270</v>
      </c>
      <c r="H10" s="578" t="s">
        <v>271</v>
      </c>
      <c r="I10" s="578" t="s">
        <v>272</v>
      </c>
      <c r="J10" s="578" t="s">
        <v>273</v>
      </c>
      <c r="K10" s="578" t="s">
        <v>274</v>
      </c>
      <c r="L10" s="578" t="s">
        <v>275</v>
      </c>
      <c r="M10" s="578" t="s">
        <v>822</v>
      </c>
      <c r="N10" s="579" t="s">
        <v>823</v>
      </c>
      <c r="O10" s="579" t="s">
        <v>824</v>
      </c>
      <c r="P10" s="579" t="s">
        <v>825</v>
      </c>
    </row>
    <row r="11" spans="1:16" x14ac:dyDescent="0.25">
      <c r="A11" s="580">
        <v>1</v>
      </c>
      <c r="B11" s="580">
        <v>2</v>
      </c>
      <c r="C11" s="580">
        <v>3</v>
      </c>
      <c r="D11" s="580">
        <v>4</v>
      </c>
      <c r="E11" s="580">
        <v>5</v>
      </c>
      <c r="F11" s="580">
        <v>6</v>
      </c>
      <c r="G11" s="580">
        <v>7</v>
      </c>
      <c r="H11" s="580">
        <v>8</v>
      </c>
      <c r="I11" s="580">
        <v>9</v>
      </c>
      <c r="J11" s="580">
        <v>10</v>
      </c>
      <c r="K11" s="580">
        <v>11</v>
      </c>
      <c r="L11" s="580">
        <v>12</v>
      </c>
      <c r="M11" s="580">
        <v>13</v>
      </c>
      <c r="N11" s="580">
        <v>14</v>
      </c>
      <c r="O11" s="580">
        <v>15</v>
      </c>
      <c r="P11" s="580">
        <v>16</v>
      </c>
    </row>
    <row r="12" spans="1:16" ht="18" customHeight="1" x14ac:dyDescent="0.25">
      <c r="A12" s="581">
        <v>1</v>
      </c>
      <c r="B12" s="509" t="s">
        <v>890</v>
      </c>
      <c r="C12" s="797">
        <v>1239</v>
      </c>
      <c r="D12" s="797">
        <v>1239</v>
      </c>
      <c r="E12" s="797">
        <v>1239</v>
      </c>
      <c r="F12" s="797">
        <v>1238</v>
      </c>
      <c r="G12" s="797">
        <v>1238</v>
      </c>
      <c r="H12" s="797">
        <v>1238</v>
      </c>
      <c r="I12" s="797">
        <v>1238</v>
      </c>
      <c r="J12" s="797">
        <v>1238</v>
      </c>
      <c r="K12" s="797">
        <v>1238</v>
      </c>
      <c r="L12" s="797">
        <v>1238</v>
      </c>
      <c r="M12" s="798">
        <v>1236</v>
      </c>
      <c r="N12" s="798">
        <v>1110</v>
      </c>
      <c r="O12" s="798">
        <v>546</v>
      </c>
      <c r="P12" s="798">
        <v>257</v>
      </c>
    </row>
    <row r="13" spans="1:16" ht="18" customHeight="1" x14ac:dyDescent="0.25">
      <c r="A13" s="581">
        <v>2</v>
      </c>
      <c r="B13" s="509" t="s">
        <v>891</v>
      </c>
      <c r="C13" s="797">
        <v>1826</v>
      </c>
      <c r="D13" s="797">
        <v>1826</v>
      </c>
      <c r="E13" s="797">
        <v>1826</v>
      </c>
      <c r="F13" s="797">
        <v>1826</v>
      </c>
      <c r="G13" s="797">
        <v>1826</v>
      </c>
      <c r="H13" s="797">
        <v>1826</v>
      </c>
      <c r="I13" s="797">
        <v>1826</v>
      </c>
      <c r="J13" s="797">
        <v>1826</v>
      </c>
      <c r="K13" s="797">
        <v>1826</v>
      </c>
      <c r="L13" s="797">
        <v>1826</v>
      </c>
      <c r="M13" s="798">
        <v>1826</v>
      </c>
      <c r="N13" s="798">
        <v>1209</v>
      </c>
      <c r="O13" s="798">
        <v>888</v>
      </c>
      <c r="P13" s="798">
        <v>554</v>
      </c>
    </row>
    <row r="14" spans="1:16" ht="18" customHeight="1" x14ac:dyDescent="0.25">
      <c r="A14" s="581">
        <v>3</v>
      </c>
      <c r="B14" s="509" t="s">
        <v>892</v>
      </c>
      <c r="C14" s="797">
        <v>1964</v>
      </c>
      <c r="D14" s="797">
        <v>1964</v>
      </c>
      <c r="E14" s="797">
        <v>1963</v>
      </c>
      <c r="F14" s="797">
        <v>1963</v>
      </c>
      <c r="G14" s="797">
        <v>1963</v>
      </c>
      <c r="H14" s="797">
        <v>1963</v>
      </c>
      <c r="I14" s="797">
        <v>1963</v>
      </c>
      <c r="J14" s="797">
        <v>1963</v>
      </c>
      <c r="K14" s="797">
        <v>1963</v>
      </c>
      <c r="L14" s="797">
        <v>1963</v>
      </c>
      <c r="M14" s="798">
        <v>1963</v>
      </c>
      <c r="N14" s="798">
        <v>1963</v>
      </c>
      <c r="O14" s="798">
        <v>1963</v>
      </c>
      <c r="P14" s="798">
        <v>1483</v>
      </c>
    </row>
    <row r="15" spans="1:16" ht="18" customHeight="1" x14ac:dyDescent="0.25">
      <c r="A15" s="581">
        <v>4</v>
      </c>
      <c r="B15" s="509" t="s">
        <v>893</v>
      </c>
      <c r="C15" s="797">
        <v>2178</v>
      </c>
      <c r="D15" s="797">
        <v>2178</v>
      </c>
      <c r="E15" s="797">
        <v>2178</v>
      </c>
      <c r="F15" s="797">
        <v>2178</v>
      </c>
      <c r="G15" s="797">
        <v>2178</v>
      </c>
      <c r="H15" s="797">
        <v>2178</v>
      </c>
      <c r="I15" s="797">
        <v>2178</v>
      </c>
      <c r="J15" s="797">
        <v>2178</v>
      </c>
      <c r="K15" s="797">
        <v>2178</v>
      </c>
      <c r="L15" s="797">
        <v>2178</v>
      </c>
      <c r="M15" s="798">
        <v>2178</v>
      </c>
      <c r="N15" s="798">
        <v>2178</v>
      </c>
      <c r="O15" s="798">
        <v>2178</v>
      </c>
      <c r="P15" s="798">
        <v>2177</v>
      </c>
    </row>
    <row r="16" spans="1:16" ht="18" customHeight="1" x14ac:dyDescent="0.25">
      <c r="A16" s="581">
        <v>5</v>
      </c>
      <c r="B16" s="509" t="s">
        <v>894</v>
      </c>
      <c r="C16" s="797">
        <v>1131</v>
      </c>
      <c r="D16" s="797">
        <v>1131</v>
      </c>
      <c r="E16" s="797">
        <v>1130</v>
      </c>
      <c r="F16" s="797">
        <v>1130</v>
      </c>
      <c r="G16" s="797">
        <v>1130</v>
      </c>
      <c r="H16" s="797">
        <v>1130</v>
      </c>
      <c r="I16" s="797">
        <v>1130</v>
      </c>
      <c r="J16" s="797">
        <v>1130</v>
      </c>
      <c r="K16" s="797">
        <v>1130</v>
      </c>
      <c r="L16" s="797">
        <v>1130</v>
      </c>
      <c r="M16" s="798">
        <v>1125</v>
      </c>
      <c r="N16" s="798">
        <v>1016</v>
      </c>
      <c r="O16" s="798">
        <v>748</v>
      </c>
      <c r="P16" s="798">
        <v>331</v>
      </c>
    </row>
    <row r="17" spans="1:16" ht="18" customHeight="1" x14ac:dyDescent="0.25">
      <c r="A17" s="581">
        <v>6</v>
      </c>
      <c r="B17" s="509" t="s">
        <v>895</v>
      </c>
      <c r="C17" s="797">
        <v>858</v>
      </c>
      <c r="D17" s="797">
        <v>858</v>
      </c>
      <c r="E17" s="797">
        <v>858</v>
      </c>
      <c r="F17" s="797">
        <v>858</v>
      </c>
      <c r="G17" s="797">
        <v>858</v>
      </c>
      <c r="H17" s="797">
        <v>858</v>
      </c>
      <c r="I17" s="797">
        <v>858</v>
      </c>
      <c r="J17" s="797">
        <v>858</v>
      </c>
      <c r="K17" s="797">
        <v>858</v>
      </c>
      <c r="L17" s="797">
        <v>858</v>
      </c>
      <c r="M17" s="798">
        <v>858</v>
      </c>
      <c r="N17" s="798">
        <v>858</v>
      </c>
      <c r="O17" s="798">
        <v>858</v>
      </c>
      <c r="P17" s="798">
        <v>858</v>
      </c>
    </row>
    <row r="18" spans="1:16" ht="18" customHeight="1" x14ac:dyDescent="0.25">
      <c r="A18" s="581">
        <v>7</v>
      </c>
      <c r="B18" s="509" t="s">
        <v>896</v>
      </c>
      <c r="C18" s="797">
        <v>2493</v>
      </c>
      <c r="D18" s="797">
        <v>2493</v>
      </c>
      <c r="E18" s="797">
        <v>2493</v>
      </c>
      <c r="F18" s="797">
        <v>2493</v>
      </c>
      <c r="G18" s="797">
        <v>2493</v>
      </c>
      <c r="H18" s="797">
        <v>2493</v>
      </c>
      <c r="I18" s="797">
        <v>2493</v>
      </c>
      <c r="J18" s="797">
        <v>2493</v>
      </c>
      <c r="K18" s="797">
        <v>2493</v>
      </c>
      <c r="L18" s="797">
        <v>2493</v>
      </c>
      <c r="M18" s="798">
        <v>2493</v>
      </c>
      <c r="N18" s="798">
        <v>2493</v>
      </c>
      <c r="O18" s="798">
        <v>2493</v>
      </c>
      <c r="P18" s="798">
        <v>2147</v>
      </c>
    </row>
    <row r="19" spans="1:16" ht="18" customHeight="1" x14ac:dyDescent="0.25">
      <c r="A19" s="581">
        <v>8</v>
      </c>
      <c r="B19" s="509" t="s">
        <v>897</v>
      </c>
      <c r="C19" s="797">
        <v>859</v>
      </c>
      <c r="D19" s="797">
        <v>858</v>
      </c>
      <c r="E19" s="797">
        <v>854</v>
      </c>
      <c r="F19" s="797">
        <v>854</v>
      </c>
      <c r="G19" s="797">
        <v>854</v>
      </c>
      <c r="H19" s="797">
        <v>854</v>
      </c>
      <c r="I19" s="797">
        <v>854</v>
      </c>
      <c r="J19" s="797">
        <v>854</v>
      </c>
      <c r="K19" s="797">
        <v>854</v>
      </c>
      <c r="L19" s="797">
        <v>854</v>
      </c>
      <c r="M19" s="798">
        <v>854</v>
      </c>
      <c r="N19" s="798">
        <v>854</v>
      </c>
      <c r="O19" s="798">
        <v>854</v>
      </c>
      <c r="P19" s="798">
        <v>854</v>
      </c>
    </row>
    <row r="20" spans="1:16" ht="18" customHeight="1" x14ac:dyDescent="0.25">
      <c r="A20" s="581">
        <v>9</v>
      </c>
      <c r="B20" s="509" t="s">
        <v>898</v>
      </c>
      <c r="C20" s="797">
        <v>1336</v>
      </c>
      <c r="D20" s="797">
        <v>1336</v>
      </c>
      <c r="E20" s="797">
        <v>1336</v>
      </c>
      <c r="F20" s="797">
        <v>1336</v>
      </c>
      <c r="G20" s="797">
        <v>1336</v>
      </c>
      <c r="H20" s="797">
        <v>1336</v>
      </c>
      <c r="I20" s="797">
        <v>1336</v>
      </c>
      <c r="J20" s="797">
        <v>1336</v>
      </c>
      <c r="K20" s="797">
        <v>1336</v>
      </c>
      <c r="L20" s="797">
        <v>1336</v>
      </c>
      <c r="M20" s="798">
        <v>1336</v>
      </c>
      <c r="N20" s="798">
        <v>1336</v>
      </c>
      <c r="O20" s="798">
        <v>1336</v>
      </c>
      <c r="P20" s="798">
        <v>1336</v>
      </c>
    </row>
    <row r="21" spans="1:16" ht="18" customHeight="1" x14ac:dyDescent="0.25">
      <c r="A21" s="581">
        <v>10</v>
      </c>
      <c r="B21" s="509" t="s">
        <v>899</v>
      </c>
      <c r="C21" s="797">
        <v>963</v>
      </c>
      <c r="D21" s="797">
        <v>962</v>
      </c>
      <c r="E21" s="797">
        <v>961</v>
      </c>
      <c r="F21" s="797">
        <v>961</v>
      </c>
      <c r="G21" s="797">
        <v>961</v>
      </c>
      <c r="H21" s="797">
        <v>961</v>
      </c>
      <c r="I21" s="797">
        <v>961</v>
      </c>
      <c r="J21" s="797">
        <v>961</v>
      </c>
      <c r="K21" s="797">
        <v>961</v>
      </c>
      <c r="L21" s="797">
        <v>961</v>
      </c>
      <c r="M21" s="798">
        <v>961</v>
      </c>
      <c r="N21" s="798">
        <v>961</v>
      </c>
      <c r="O21" s="798">
        <v>961</v>
      </c>
      <c r="P21" s="798">
        <v>961</v>
      </c>
    </row>
    <row r="22" spans="1:16" ht="18" customHeight="1" x14ac:dyDescent="0.25">
      <c r="A22" s="581">
        <v>11</v>
      </c>
      <c r="B22" s="509" t="s">
        <v>900</v>
      </c>
      <c r="C22" s="797">
        <v>1432</v>
      </c>
      <c r="D22" s="797">
        <v>1432</v>
      </c>
      <c r="E22" s="797">
        <v>1432</v>
      </c>
      <c r="F22" s="797">
        <v>1432</v>
      </c>
      <c r="G22" s="797">
        <v>1432</v>
      </c>
      <c r="H22" s="797">
        <v>1432</v>
      </c>
      <c r="I22" s="797">
        <v>1432</v>
      </c>
      <c r="J22" s="797">
        <v>1432</v>
      </c>
      <c r="K22" s="797">
        <v>1432</v>
      </c>
      <c r="L22" s="797">
        <v>1432</v>
      </c>
      <c r="M22" s="798">
        <v>1432</v>
      </c>
      <c r="N22" s="798">
        <v>1432</v>
      </c>
      <c r="O22" s="798">
        <v>1427</v>
      </c>
      <c r="P22" s="798">
        <v>1254</v>
      </c>
    </row>
    <row r="23" spans="1:16" ht="18" customHeight="1" x14ac:dyDescent="0.25">
      <c r="A23" s="581">
        <v>12</v>
      </c>
      <c r="B23" s="509" t="s">
        <v>901</v>
      </c>
      <c r="C23" s="797">
        <v>2330</v>
      </c>
      <c r="D23" s="797">
        <v>2325</v>
      </c>
      <c r="E23" s="797">
        <v>2324</v>
      </c>
      <c r="F23" s="797">
        <v>2324</v>
      </c>
      <c r="G23" s="797">
        <v>2324</v>
      </c>
      <c r="H23" s="797">
        <v>2324</v>
      </c>
      <c r="I23" s="797">
        <v>2324</v>
      </c>
      <c r="J23" s="797">
        <v>2324</v>
      </c>
      <c r="K23" s="797">
        <v>2324</v>
      </c>
      <c r="L23" s="797">
        <v>2324</v>
      </c>
      <c r="M23" s="799">
        <v>2324</v>
      </c>
      <c r="N23" s="798">
        <v>2158</v>
      </c>
      <c r="O23" s="798">
        <v>2140</v>
      </c>
      <c r="P23" s="798">
        <v>1546</v>
      </c>
    </row>
    <row r="24" spans="1:16" ht="18" customHeight="1" x14ac:dyDescent="0.25">
      <c r="A24" s="581">
        <v>13</v>
      </c>
      <c r="B24" s="509" t="s">
        <v>902</v>
      </c>
      <c r="C24" s="797">
        <v>2265</v>
      </c>
      <c r="D24" s="797">
        <v>2265</v>
      </c>
      <c r="E24" s="797">
        <v>2265</v>
      </c>
      <c r="F24" s="797">
        <v>2265</v>
      </c>
      <c r="G24" s="797">
        <v>2265</v>
      </c>
      <c r="H24" s="797">
        <v>2265</v>
      </c>
      <c r="I24" s="797">
        <v>2265</v>
      </c>
      <c r="J24" s="797">
        <v>2265</v>
      </c>
      <c r="K24" s="797">
        <v>2265</v>
      </c>
      <c r="L24" s="797">
        <v>2265</v>
      </c>
      <c r="M24" s="798">
        <v>2265</v>
      </c>
      <c r="N24" s="798">
        <v>2265</v>
      </c>
      <c r="O24" s="798">
        <v>2263</v>
      </c>
      <c r="P24" s="798">
        <v>1926</v>
      </c>
    </row>
    <row r="25" spans="1:16" ht="18" customHeight="1" x14ac:dyDescent="0.25">
      <c r="A25" s="581">
        <v>14</v>
      </c>
      <c r="B25" s="509" t="s">
        <v>903</v>
      </c>
      <c r="C25" s="797">
        <v>1477</v>
      </c>
      <c r="D25" s="797">
        <v>1476</v>
      </c>
      <c r="E25" s="797">
        <v>1474</v>
      </c>
      <c r="F25" s="797">
        <v>1473</v>
      </c>
      <c r="G25" s="797">
        <v>1473</v>
      </c>
      <c r="H25" s="797">
        <v>1473</v>
      </c>
      <c r="I25" s="797">
        <v>1473</v>
      </c>
      <c r="J25" s="797">
        <v>1473</v>
      </c>
      <c r="K25" s="797">
        <v>1473</v>
      </c>
      <c r="L25" s="797">
        <v>1473</v>
      </c>
      <c r="M25" s="798">
        <v>1449</v>
      </c>
      <c r="N25" s="798">
        <v>1039</v>
      </c>
      <c r="O25" s="798">
        <v>1039</v>
      </c>
      <c r="P25" s="798">
        <v>290</v>
      </c>
    </row>
    <row r="26" spans="1:16" ht="18" customHeight="1" x14ac:dyDescent="0.25">
      <c r="A26" s="581">
        <v>15</v>
      </c>
      <c r="B26" s="509" t="s">
        <v>904</v>
      </c>
      <c r="C26" s="797">
        <v>2206</v>
      </c>
      <c r="D26" s="797">
        <v>2206</v>
      </c>
      <c r="E26" s="797">
        <v>2206</v>
      </c>
      <c r="F26" s="797">
        <v>2206</v>
      </c>
      <c r="G26" s="797">
        <v>2206</v>
      </c>
      <c r="H26" s="797">
        <v>2206</v>
      </c>
      <c r="I26" s="797">
        <v>2206</v>
      </c>
      <c r="J26" s="797">
        <v>2206</v>
      </c>
      <c r="K26" s="797">
        <v>2206</v>
      </c>
      <c r="L26" s="797">
        <v>2206</v>
      </c>
      <c r="M26" s="798">
        <v>2206</v>
      </c>
      <c r="N26" s="798">
        <v>2206</v>
      </c>
      <c r="O26" s="798">
        <v>2204</v>
      </c>
      <c r="P26" s="798">
        <v>2194</v>
      </c>
    </row>
    <row r="27" spans="1:16" ht="18" customHeight="1" x14ac:dyDescent="0.25">
      <c r="A27" s="581">
        <v>16</v>
      </c>
      <c r="B27" s="509" t="s">
        <v>905</v>
      </c>
      <c r="C27" s="797">
        <v>1830</v>
      </c>
      <c r="D27" s="797">
        <v>1830</v>
      </c>
      <c r="E27" s="797">
        <v>1830</v>
      </c>
      <c r="F27" s="797">
        <v>1830</v>
      </c>
      <c r="G27" s="797">
        <v>1830</v>
      </c>
      <c r="H27" s="797">
        <v>1830</v>
      </c>
      <c r="I27" s="797">
        <v>1830</v>
      </c>
      <c r="J27" s="797">
        <v>1830</v>
      </c>
      <c r="K27" s="797">
        <v>1830</v>
      </c>
      <c r="L27" s="797">
        <v>1823</v>
      </c>
      <c r="M27" s="798">
        <v>1823</v>
      </c>
      <c r="N27" s="798">
        <v>1820</v>
      </c>
      <c r="O27" s="798">
        <v>1345</v>
      </c>
      <c r="P27" s="798">
        <v>823</v>
      </c>
    </row>
    <row r="28" spans="1:16" ht="18" customHeight="1" x14ac:dyDescent="0.25">
      <c r="A28" s="581">
        <v>17</v>
      </c>
      <c r="B28" s="509" t="s">
        <v>906</v>
      </c>
      <c r="C28" s="797">
        <v>2008</v>
      </c>
      <c r="D28" s="797">
        <v>2008</v>
      </c>
      <c r="E28" s="797">
        <v>2008</v>
      </c>
      <c r="F28" s="797">
        <v>2008</v>
      </c>
      <c r="G28" s="797">
        <v>2008</v>
      </c>
      <c r="H28" s="797">
        <v>2008</v>
      </c>
      <c r="I28" s="797">
        <v>2008</v>
      </c>
      <c r="J28" s="797">
        <v>2008</v>
      </c>
      <c r="K28" s="797">
        <v>2008</v>
      </c>
      <c r="L28" s="797">
        <v>2008</v>
      </c>
      <c r="M28" s="798">
        <v>2008</v>
      </c>
      <c r="N28" s="798">
        <v>2008</v>
      </c>
      <c r="O28" s="798">
        <v>2008</v>
      </c>
      <c r="P28" s="798">
        <v>2008</v>
      </c>
    </row>
    <row r="29" spans="1:16" ht="18" customHeight="1" x14ac:dyDescent="0.25">
      <c r="A29" s="581">
        <v>18</v>
      </c>
      <c r="B29" s="509" t="s">
        <v>907</v>
      </c>
      <c r="C29" s="797">
        <v>1384</v>
      </c>
      <c r="D29" s="797">
        <v>1384</v>
      </c>
      <c r="E29" s="797">
        <v>1384</v>
      </c>
      <c r="F29" s="797">
        <v>1384</v>
      </c>
      <c r="G29" s="797">
        <v>1384</v>
      </c>
      <c r="H29" s="797">
        <v>1384</v>
      </c>
      <c r="I29" s="797">
        <v>1384</v>
      </c>
      <c r="J29" s="797">
        <v>1384</v>
      </c>
      <c r="K29" s="797">
        <v>1384</v>
      </c>
      <c r="L29" s="797">
        <v>1268</v>
      </c>
      <c r="M29" s="798">
        <v>1264</v>
      </c>
      <c r="N29" s="798">
        <v>1226</v>
      </c>
      <c r="O29" s="798">
        <v>1001</v>
      </c>
      <c r="P29" s="798">
        <v>647</v>
      </c>
    </row>
    <row r="30" spans="1:16" ht="18" customHeight="1" x14ac:dyDescent="0.25">
      <c r="A30" s="581">
        <v>19</v>
      </c>
      <c r="B30" s="509" t="s">
        <v>908</v>
      </c>
      <c r="C30" s="797">
        <v>1794</v>
      </c>
      <c r="D30" s="797">
        <v>1791</v>
      </c>
      <c r="E30" s="797">
        <v>1784</v>
      </c>
      <c r="F30" s="797">
        <v>1784</v>
      </c>
      <c r="G30" s="797">
        <v>1564</v>
      </c>
      <c r="H30" s="797">
        <v>1555</v>
      </c>
      <c r="I30" s="797">
        <v>1555</v>
      </c>
      <c r="J30" s="797">
        <v>1554</v>
      </c>
      <c r="K30" s="797">
        <v>1554</v>
      </c>
      <c r="L30" s="797">
        <v>1488</v>
      </c>
      <c r="M30" s="798">
        <v>1488</v>
      </c>
      <c r="N30" s="798">
        <v>1488</v>
      </c>
      <c r="O30" s="798">
        <v>1487</v>
      </c>
      <c r="P30" s="798">
        <v>711</v>
      </c>
    </row>
    <row r="31" spans="1:16" ht="18" customHeight="1" x14ac:dyDescent="0.25">
      <c r="A31" s="581">
        <v>20</v>
      </c>
      <c r="B31" s="509" t="s">
        <v>909</v>
      </c>
      <c r="C31" s="797">
        <v>941</v>
      </c>
      <c r="D31" s="797">
        <v>941</v>
      </c>
      <c r="E31" s="797">
        <v>941</v>
      </c>
      <c r="F31" s="797">
        <v>941</v>
      </c>
      <c r="G31" s="797">
        <v>941</v>
      </c>
      <c r="H31" s="797">
        <v>941</v>
      </c>
      <c r="I31" s="797">
        <v>941</v>
      </c>
      <c r="J31" s="797">
        <v>941</v>
      </c>
      <c r="K31" s="797">
        <v>941</v>
      </c>
      <c r="L31" s="797">
        <v>941</v>
      </c>
      <c r="M31" s="798">
        <v>941</v>
      </c>
      <c r="N31" s="798">
        <v>941</v>
      </c>
      <c r="O31" s="798">
        <v>941</v>
      </c>
      <c r="P31" s="798">
        <v>876</v>
      </c>
    </row>
    <row r="32" spans="1:16" ht="18" customHeight="1" x14ac:dyDescent="0.25">
      <c r="A32" s="581">
        <v>21</v>
      </c>
      <c r="B32" s="509" t="s">
        <v>910</v>
      </c>
      <c r="C32" s="797">
        <v>563</v>
      </c>
      <c r="D32" s="797">
        <v>563</v>
      </c>
      <c r="E32" s="797">
        <v>562</v>
      </c>
      <c r="F32" s="797">
        <v>562</v>
      </c>
      <c r="G32" s="797">
        <v>562</v>
      </c>
      <c r="H32" s="797">
        <v>562</v>
      </c>
      <c r="I32" s="797">
        <v>562</v>
      </c>
      <c r="J32" s="797">
        <v>562</v>
      </c>
      <c r="K32" s="797">
        <v>562</v>
      </c>
      <c r="L32" s="797">
        <v>562</v>
      </c>
      <c r="M32" s="798">
        <v>562</v>
      </c>
      <c r="N32" s="798">
        <v>562</v>
      </c>
      <c r="O32" s="798">
        <v>562</v>
      </c>
      <c r="P32" s="798">
        <v>250</v>
      </c>
    </row>
    <row r="33" spans="1:16" ht="18" customHeight="1" x14ac:dyDescent="0.25">
      <c r="A33" s="581">
        <v>22</v>
      </c>
      <c r="B33" s="509" t="s">
        <v>911</v>
      </c>
      <c r="C33" s="797">
        <v>2895</v>
      </c>
      <c r="D33" s="797">
        <v>2895</v>
      </c>
      <c r="E33" s="797">
        <v>2891</v>
      </c>
      <c r="F33" s="797">
        <v>2891</v>
      </c>
      <c r="G33" s="797">
        <v>2890</v>
      </c>
      <c r="H33" s="797">
        <v>2887</v>
      </c>
      <c r="I33" s="797">
        <v>2886</v>
      </c>
      <c r="J33" s="797">
        <v>2886</v>
      </c>
      <c r="K33" s="797">
        <v>2886</v>
      </c>
      <c r="L33" s="797">
        <v>2886</v>
      </c>
      <c r="M33" s="798">
        <v>2873</v>
      </c>
      <c r="N33" s="798">
        <v>2397</v>
      </c>
      <c r="O33" s="798">
        <v>1821</v>
      </c>
      <c r="P33" s="798">
        <v>593</v>
      </c>
    </row>
    <row r="34" spans="1:16" ht="18" customHeight="1" x14ac:dyDescent="0.25">
      <c r="A34" s="581">
        <v>23</v>
      </c>
      <c r="B34" s="509" t="s">
        <v>912</v>
      </c>
      <c r="C34" s="797">
        <v>1279</v>
      </c>
      <c r="D34" s="797">
        <v>1279</v>
      </c>
      <c r="E34" s="797">
        <v>1279</v>
      </c>
      <c r="F34" s="797">
        <v>1279</v>
      </c>
      <c r="G34" s="797">
        <v>1279</v>
      </c>
      <c r="H34" s="797">
        <v>1279</v>
      </c>
      <c r="I34" s="797">
        <v>1279</v>
      </c>
      <c r="J34" s="797">
        <v>1279</v>
      </c>
      <c r="K34" s="797">
        <v>1279</v>
      </c>
      <c r="L34" s="797">
        <v>1279</v>
      </c>
      <c r="M34" s="798">
        <v>1279</v>
      </c>
      <c r="N34" s="798">
        <v>1279</v>
      </c>
      <c r="O34" s="798">
        <v>1276</v>
      </c>
      <c r="P34" s="798">
        <v>1037</v>
      </c>
    </row>
    <row r="35" spans="1:16" ht="18" customHeight="1" x14ac:dyDescent="0.25">
      <c r="A35" s="581">
        <v>24</v>
      </c>
      <c r="B35" s="509" t="s">
        <v>913</v>
      </c>
      <c r="C35" s="797">
        <v>2649</v>
      </c>
      <c r="D35" s="797">
        <v>2649</v>
      </c>
      <c r="E35" s="797">
        <v>2647</v>
      </c>
      <c r="F35" s="797">
        <v>2647</v>
      </c>
      <c r="G35" s="797">
        <v>2647</v>
      </c>
      <c r="H35" s="797">
        <v>2647</v>
      </c>
      <c r="I35" s="797">
        <v>2647</v>
      </c>
      <c r="J35" s="797">
        <v>2647</v>
      </c>
      <c r="K35" s="797">
        <v>2647</v>
      </c>
      <c r="L35" s="797">
        <v>2647</v>
      </c>
      <c r="M35" s="798">
        <v>2647</v>
      </c>
      <c r="N35" s="798">
        <v>2647</v>
      </c>
      <c r="O35" s="798">
        <v>2647</v>
      </c>
      <c r="P35" s="798">
        <v>2647</v>
      </c>
    </row>
    <row r="36" spans="1:16" ht="18" customHeight="1" x14ac:dyDescent="0.25">
      <c r="A36" s="581">
        <v>25</v>
      </c>
      <c r="B36" s="509" t="s">
        <v>919</v>
      </c>
      <c r="C36" s="797">
        <v>1935</v>
      </c>
      <c r="D36" s="797">
        <v>1935</v>
      </c>
      <c r="E36" s="797">
        <v>1935</v>
      </c>
      <c r="F36" s="797">
        <v>1935</v>
      </c>
      <c r="G36" s="797">
        <v>1935</v>
      </c>
      <c r="H36" s="797">
        <v>1935</v>
      </c>
      <c r="I36" s="797">
        <v>1935</v>
      </c>
      <c r="J36" s="797">
        <v>1935</v>
      </c>
      <c r="K36" s="797">
        <v>1935</v>
      </c>
      <c r="L36" s="797">
        <v>1935</v>
      </c>
      <c r="M36" s="798">
        <v>1935</v>
      </c>
      <c r="N36" s="798">
        <v>1935</v>
      </c>
      <c r="O36" s="798">
        <v>1935</v>
      </c>
      <c r="P36" s="798">
        <v>1935</v>
      </c>
    </row>
    <row r="37" spans="1:16" ht="18" customHeight="1" x14ac:dyDescent="0.25">
      <c r="A37" s="581">
        <v>26</v>
      </c>
      <c r="B37" s="509" t="s">
        <v>914</v>
      </c>
      <c r="C37" s="797">
        <v>924</v>
      </c>
      <c r="D37" s="797">
        <v>912</v>
      </c>
      <c r="E37" s="797">
        <v>907</v>
      </c>
      <c r="F37" s="797">
        <v>907</v>
      </c>
      <c r="G37" s="797">
        <v>907</v>
      </c>
      <c r="H37" s="797">
        <v>907</v>
      </c>
      <c r="I37" s="797">
        <v>907</v>
      </c>
      <c r="J37" s="797">
        <v>907</v>
      </c>
      <c r="K37" s="797">
        <v>907</v>
      </c>
      <c r="L37" s="797">
        <v>907</v>
      </c>
      <c r="M37" s="798">
        <v>677</v>
      </c>
      <c r="N37" s="798">
        <v>640</v>
      </c>
      <c r="O37" s="798">
        <v>560</v>
      </c>
      <c r="P37" s="798">
        <v>548</v>
      </c>
    </row>
    <row r="38" spans="1:16" ht="18" customHeight="1" x14ac:dyDescent="0.25">
      <c r="A38" s="581">
        <v>27</v>
      </c>
      <c r="B38" s="509" t="s">
        <v>915</v>
      </c>
      <c r="C38" s="797">
        <v>1973</v>
      </c>
      <c r="D38" s="797">
        <v>1973</v>
      </c>
      <c r="E38" s="797">
        <v>1971</v>
      </c>
      <c r="F38" s="797">
        <v>1971</v>
      </c>
      <c r="G38" s="797">
        <v>1971</v>
      </c>
      <c r="H38" s="797">
        <v>1971</v>
      </c>
      <c r="I38" s="797">
        <v>1971</v>
      </c>
      <c r="J38" s="797">
        <v>1971</v>
      </c>
      <c r="K38" s="797">
        <v>1971</v>
      </c>
      <c r="L38" s="797">
        <v>1818</v>
      </c>
      <c r="M38" s="798">
        <v>1804</v>
      </c>
      <c r="N38" s="798">
        <v>1314</v>
      </c>
      <c r="O38" s="798">
        <v>1137</v>
      </c>
      <c r="P38" s="798">
        <v>980</v>
      </c>
    </row>
    <row r="39" spans="1:16" x14ac:dyDescent="0.25">
      <c r="A39" s="582" t="s">
        <v>18</v>
      </c>
      <c r="B39" s="582"/>
      <c r="C39" s="583">
        <f t="shared" ref="C39:O39" si="0">SUM(C12:C38)</f>
        <v>44732</v>
      </c>
      <c r="D39" s="583">
        <f t="shared" si="0"/>
        <v>44709</v>
      </c>
      <c r="E39" s="583">
        <f t="shared" si="0"/>
        <v>44678</v>
      </c>
      <c r="F39" s="583">
        <f t="shared" si="0"/>
        <v>44676</v>
      </c>
      <c r="G39" s="583">
        <f t="shared" si="0"/>
        <v>44455</v>
      </c>
      <c r="H39" s="583">
        <f t="shared" si="0"/>
        <v>44443</v>
      </c>
      <c r="I39" s="583">
        <f t="shared" si="0"/>
        <v>44442</v>
      </c>
      <c r="J39" s="583">
        <f t="shared" si="0"/>
        <v>44441</v>
      </c>
      <c r="K39" s="583">
        <f t="shared" si="0"/>
        <v>44441</v>
      </c>
      <c r="L39" s="583">
        <f t="shared" si="0"/>
        <v>44099</v>
      </c>
      <c r="M39" s="583">
        <f t="shared" si="0"/>
        <v>43807</v>
      </c>
      <c r="N39" s="583">
        <f t="shared" si="0"/>
        <v>41335</v>
      </c>
      <c r="O39" s="583">
        <f t="shared" si="0"/>
        <v>38618</v>
      </c>
      <c r="P39" s="583">
        <f>SUM(P12:P38)</f>
        <v>31223</v>
      </c>
    </row>
    <row r="42" spans="1:16" x14ac:dyDescent="0.25">
      <c r="A42" s="472"/>
      <c r="B42" s="472"/>
    </row>
    <row r="43" spans="1:16" x14ac:dyDescent="0.25">
      <c r="A43" s="472"/>
      <c r="B43" s="472"/>
      <c r="C43" s="472"/>
      <c r="D43" s="472"/>
      <c r="E43" s="472"/>
      <c r="F43" s="472"/>
      <c r="G43" s="472"/>
      <c r="H43" s="621"/>
      <c r="I43" s="621"/>
      <c r="J43" s="621"/>
      <c r="K43" s="621"/>
      <c r="L43" s="621"/>
      <c r="M43" s="621"/>
      <c r="N43" s="472"/>
      <c r="O43" s="472"/>
      <c r="P43" s="472"/>
    </row>
    <row r="44" spans="1:16" x14ac:dyDescent="0.25">
      <c r="A44" s="472"/>
      <c r="B44" s="472"/>
      <c r="C44" s="472"/>
      <c r="D44" s="472"/>
      <c r="E44" s="472"/>
      <c r="F44" s="472"/>
      <c r="G44" s="472"/>
      <c r="H44" s="621"/>
      <c r="I44" s="621"/>
      <c r="J44" s="621"/>
      <c r="K44" s="621"/>
      <c r="L44" s="810" t="s">
        <v>13</v>
      </c>
      <c r="M44" s="810"/>
      <c r="N44" s="810"/>
      <c r="O44" s="810"/>
      <c r="P44" s="810"/>
    </row>
    <row r="45" spans="1:16" x14ac:dyDescent="0.25">
      <c r="A45" s="577"/>
      <c r="B45" s="472"/>
      <c r="C45" s="472"/>
      <c r="D45" s="472"/>
      <c r="E45" s="472"/>
      <c r="F45" s="472"/>
      <c r="G45" s="472"/>
      <c r="H45" s="640"/>
      <c r="I45" s="640"/>
      <c r="J45" s="640"/>
      <c r="K45" s="640"/>
      <c r="L45" s="810" t="s">
        <v>14</v>
      </c>
      <c r="M45" s="810"/>
      <c r="N45" s="810"/>
      <c r="O45" s="810"/>
      <c r="P45" s="810"/>
    </row>
    <row r="46" spans="1:16" x14ac:dyDescent="0.25">
      <c r="L46" s="810" t="s">
        <v>918</v>
      </c>
      <c r="M46" s="810"/>
      <c r="N46" s="810"/>
      <c r="O46" s="810"/>
      <c r="P46" s="810"/>
    </row>
    <row r="47" spans="1:16" x14ac:dyDescent="0.25">
      <c r="A47" s="492" t="s">
        <v>12</v>
      </c>
      <c r="L47" s="657"/>
      <c r="M47" s="207" t="s">
        <v>82</v>
      </c>
      <c r="N47" s="207"/>
      <c r="O47" s="207"/>
      <c r="P47" s="207"/>
    </row>
  </sheetData>
  <mergeCells count="13">
    <mergeCell ref="L44:P44"/>
    <mergeCell ref="L45:P45"/>
    <mergeCell ref="L46:P46"/>
    <mergeCell ref="H1:I1"/>
    <mergeCell ref="D2:G2"/>
    <mergeCell ref="A3:M3"/>
    <mergeCell ref="A4:M4"/>
    <mergeCell ref="K8:P8"/>
    <mergeCell ref="A9:A10"/>
    <mergeCell ref="B9:B10"/>
    <mergeCell ref="C9:C10"/>
    <mergeCell ref="D9:D10"/>
    <mergeCell ref="E9:P9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  <pageSetUpPr fitToPage="1"/>
  </sheetPr>
  <dimension ref="A1:O50"/>
  <sheetViews>
    <sheetView topLeftCell="A16" zoomScaleSheetLayoutView="90" workbookViewId="0">
      <selection activeCell="P21" sqref="P21"/>
    </sheetView>
  </sheetViews>
  <sheetFormatPr defaultRowHeight="12.75" x14ac:dyDescent="0.2"/>
  <cols>
    <col min="1" max="1" width="8.5703125" style="577" customWidth="1"/>
    <col min="2" max="2" width="17.85546875" style="577" customWidth="1"/>
    <col min="3" max="3" width="11.140625" style="577" customWidth="1"/>
    <col min="4" max="5" width="9.140625" style="577" customWidth="1"/>
    <col min="6" max="6" width="7.85546875" style="577" customWidth="1"/>
    <col min="7" max="7" width="8.42578125" style="577" customWidth="1"/>
    <col min="8" max="8" width="9.28515625" style="577" customWidth="1"/>
    <col min="9" max="9" width="10.28515625" style="577" customWidth="1"/>
    <col min="10" max="10" width="9.140625" style="577" customWidth="1"/>
    <col min="11" max="11" width="10.140625" style="577" customWidth="1"/>
    <col min="12" max="12" width="11" style="577" customWidth="1"/>
    <col min="13" max="256" width="9.140625" style="577"/>
    <col min="257" max="257" width="8.5703125" style="577" customWidth="1"/>
    <col min="258" max="258" width="17.85546875" style="577" customWidth="1"/>
    <col min="259" max="259" width="11.140625" style="577" customWidth="1"/>
    <col min="260" max="261" width="9.140625" style="577"/>
    <col min="262" max="262" width="7.85546875" style="577" customWidth="1"/>
    <col min="263" max="263" width="8.42578125" style="577" customWidth="1"/>
    <col min="264" max="264" width="9.28515625" style="577" customWidth="1"/>
    <col min="265" max="265" width="10.28515625" style="577" customWidth="1"/>
    <col min="266" max="266" width="9.140625" style="577"/>
    <col min="267" max="267" width="10.140625" style="577" customWidth="1"/>
    <col min="268" max="268" width="11" style="577" customWidth="1"/>
    <col min="269" max="512" width="9.140625" style="577"/>
    <col min="513" max="513" width="8.5703125" style="577" customWidth="1"/>
    <col min="514" max="514" width="17.85546875" style="577" customWidth="1"/>
    <col min="515" max="515" width="11.140625" style="577" customWidth="1"/>
    <col min="516" max="517" width="9.140625" style="577"/>
    <col min="518" max="518" width="7.85546875" style="577" customWidth="1"/>
    <col min="519" max="519" width="8.42578125" style="577" customWidth="1"/>
    <col min="520" max="520" width="9.28515625" style="577" customWidth="1"/>
    <col min="521" max="521" width="10.28515625" style="577" customWidth="1"/>
    <col min="522" max="522" width="9.140625" style="577"/>
    <col min="523" max="523" width="10.140625" style="577" customWidth="1"/>
    <col min="524" max="524" width="11" style="577" customWidth="1"/>
    <col min="525" max="768" width="9.140625" style="577"/>
    <col min="769" max="769" width="8.5703125" style="577" customWidth="1"/>
    <col min="770" max="770" width="17.85546875" style="577" customWidth="1"/>
    <col min="771" max="771" width="11.140625" style="577" customWidth="1"/>
    <col min="772" max="773" width="9.140625" style="577"/>
    <col min="774" max="774" width="7.85546875" style="577" customWidth="1"/>
    <col min="775" max="775" width="8.42578125" style="577" customWidth="1"/>
    <col min="776" max="776" width="9.28515625" style="577" customWidth="1"/>
    <col min="777" max="777" width="10.28515625" style="577" customWidth="1"/>
    <col min="778" max="778" width="9.140625" style="577"/>
    <col min="779" max="779" width="10.140625" style="577" customWidth="1"/>
    <col min="780" max="780" width="11" style="577" customWidth="1"/>
    <col min="781" max="1024" width="9.140625" style="577"/>
    <col min="1025" max="1025" width="8.5703125" style="577" customWidth="1"/>
    <col min="1026" max="1026" width="17.85546875" style="577" customWidth="1"/>
    <col min="1027" max="1027" width="11.140625" style="577" customWidth="1"/>
    <col min="1028" max="1029" width="9.140625" style="577"/>
    <col min="1030" max="1030" width="7.85546875" style="577" customWidth="1"/>
    <col min="1031" max="1031" width="8.42578125" style="577" customWidth="1"/>
    <col min="1032" max="1032" width="9.28515625" style="577" customWidth="1"/>
    <col min="1033" max="1033" width="10.28515625" style="577" customWidth="1"/>
    <col min="1034" max="1034" width="9.140625" style="577"/>
    <col min="1035" max="1035" width="10.140625" style="577" customWidth="1"/>
    <col min="1036" max="1036" width="11" style="577" customWidth="1"/>
    <col min="1037" max="1280" width="9.140625" style="577"/>
    <col min="1281" max="1281" width="8.5703125" style="577" customWidth="1"/>
    <col min="1282" max="1282" width="17.85546875" style="577" customWidth="1"/>
    <col min="1283" max="1283" width="11.140625" style="577" customWidth="1"/>
    <col min="1284" max="1285" width="9.140625" style="577"/>
    <col min="1286" max="1286" width="7.85546875" style="577" customWidth="1"/>
    <col min="1287" max="1287" width="8.42578125" style="577" customWidth="1"/>
    <col min="1288" max="1288" width="9.28515625" style="577" customWidth="1"/>
    <col min="1289" max="1289" width="10.28515625" style="577" customWidth="1"/>
    <col min="1290" max="1290" width="9.140625" style="577"/>
    <col min="1291" max="1291" width="10.140625" style="577" customWidth="1"/>
    <col min="1292" max="1292" width="11" style="577" customWidth="1"/>
    <col min="1293" max="1536" width="9.140625" style="577"/>
    <col min="1537" max="1537" width="8.5703125" style="577" customWidth="1"/>
    <col min="1538" max="1538" width="17.85546875" style="577" customWidth="1"/>
    <col min="1539" max="1539" width="11.140625" style="577" customWidth="1"/>
    <col min="1540" max="1541" width="9.140625" style="577"/>
    <col min="1542" max="1542" width="7.85546875" style="577" customWidth="1"/>
    <col min="1543" max="1543" width="8.42578125" style="577" customWidth="1"/>
    <col min="1544" max="1544" width="9.28515625" style="577" customWidth="1"/>
    <col min="1545" max="1545" width="10.28515625" style="577" customWidth="1"/>
    <col min="1546" max="1546" width="9.140625" style="577"/>
    <col min="1547" max="1547" width="10.140625" style="577" customWidth="1"/>
    <col min="1548" max="1548" width="11" style="577" customWidth="1"/>
    <col min="1549" max="1792" width="9.140625" style="577"/>
    <col min="1793" max="1793" width="8.5703125" style="577" customWidth="1"/>
    <col min="1794" max="1794" width="17.85546875" style="577" customWidth="1"/>
    <col min="1795" max="1795" width="11.140625" style="577" customWidth="1"/>
    <col min="1796" max="1797" width="9.140625" style="577"/>
    <col min="1798" max="1798" width="7.85546875" style="577" customWidth="1"/>
    <col min="1799" max="1799" width="8.42578125" style="577" customWidth="1"/>
    <col min="1800" max="1800" width="9.28515625" style="577" customWidth="1"/>
    <col min="1801" max="1801" width="10.28515625" style="577" customWidth="1"/>
    <col min="1802" max="1802" width="9.140625" style="577"/>
    <col min="1803" max="1803" width="10.140625" style="577" customWidth="1"/>
    <col min="1804" max="1804" width="11" style="577" customWidth="1"/>
    <col min="1805" max="2048" width="9.140625" style="577"/>
    <col min="2049" max="2049" width="8.5703125" style="577" customWidth="1"/>
    <col min="2050" max="2050" width="17.85546875" style="577" customWidth="1"/>
    <col min="2051" max="2051" width="11.140625" style="577" customWidth="1"/>
    <col min="2052" max="2053" width="9.140625" style="577"/>
    <col min="2054" max="2054" width="7.85546875" style="577" customWidth="1"/>
    <col min="2055" max="2055" width="8.42578125" style="577" customWidth="1"/>
    <col min="2056" max="2056" width="9.28515625" style="577" customWidth="1"/>
    <col min="2057" max="2057" width="10.28515625" style="577" customWidth="1"/>
    <col min="2058" max="2058" width="9.140625" style="577"/>
    <col min="2059" max="2059" width="10.140625" style="577" customWidth="1"/>
    <col min="2060" max="2060" width="11" style="577" customWidth="1"/>
    <col min="2061" max="2304" width="9.140625" style="577"/>
    <col min="2305" max="2305" width="8.5703125" style="577" customWidth="1"/>
    <col min="2306" max="2306" width="17.85546875" style="577" customWidth="1"/>
    <col min="2307" max="2307" width="11.140625" style="577" customWidth="1"/>
    <col min="2308" max="2309" width="9.140625" style="577"/>
    <col min="2310" max="2310" width="7.85546875" style="577" customWidth="1"/>
    <col min="2311" max="2311" width="8.42578125" style="577" customWidth="1"/>
    <col min="2312" max="2312" width="9.28515625" style="577" customWidth="1"/>
    <col min="2313" max="2313" width="10.28515625" style="577" customWidth="1"/>
    <col min="2314" max="2314" width="9.140625" style="577"/>
    <col min="2315" max="2315" width="10.140625" style="577" customWidth="1"/>
    <col min="2316" max="2316" width="11" style="577" customWidth="1"/>
    <col min="2317" max="2560" width="9.140625" style="577"/>
    <col min="2561" max="2561" width="8.5703125" style="577" customWidth="1"/>
    <col min="2562" max="2562" width="17.85546875" style="577" customWidth="1"/>
    <col min="2563" max="2563" width="11.140625" style="577" customWidth="1"/>
    <col min="2564" max="2565" width="9.140625" style="577"/>
    <col min="2566" max="2566" width="7.85546875" style="577" customWidth="1"/>
    <col min="2567" max="2567" width="8.42578125" style="577" customWidth="1"/>
    <col min="2568" max="2568" width="9.28515625" style="577" customWidth="1"/>
    <col min="2569" max="2569" width="10.28515625" style="577" customWidth="1"/>
    <col min="2570" max="2570" width="9.140625" style="577"/>
    <col min="2571" max="2571" width="10.140625" style="577" customWidth="1"/>
    <col min="2572" max="2572" width="11" style="577" customWidth="1"/>
    <col min="2573" max="2816" width="9.140625" style="577"/>
    <col min="2817" max="2817" width="8.5703125" style="577" customWidth="1"/>
    <col min="2818" max="2818" width="17.85546875" style="577" customWidth="1"/>
    <col min="2819" max="2819" width="11.140625" style="577" customWidth="1"/>
    <col min="2820" max="2821" width="9.140625" style="577"/>
    <col min="2822" max="2822" width="7.85546875" style="577" customWidth="1"/>
    <col min="2823" max="2823" width="8.42578125" style="577" customWidth="1"/>
    <col min="2824" max="2824" width="9.28515625" style="577" customWidth="1"/>
    <col min="2825" max="2825" width="10.28515625" style="577" customWidth="1"/>
    <col min="2826" max="2826" width="9.140625" style="577"/>
    <col min="2827" max="2827" width="10.140625" style="577" customWidth="1"/>
    <col min="2828" max="2828" width="11" style="577" customWidth="1"/>
    <col min="2829" max="3072" width="9.140625" style="577"/>
    <col min="3073" max="3073" width="8.5703125" style="577" customWidth="1"/>
    <col min="3074" max="3074" width="17.85546875" style="577" customWidth="1"/>
    <col min="3075" max="3075" width="11.140625" style="577" customWidth="1"/>
    <col min="3076" max="3077" width="9.140625" style="577"/>
    <col min="3078" max="3078" width="7.85546875" style="577" customWidth="1"/>
    <col min="3079" max="3079" width="8.42578125" style="577" customWidth="1"/>
    <col min="3080" max="3080" width="9.28515625" style="577" customWidth="1"/>
    <col min="3081" max="3081" width="10.28515625" style="577" customWidth="1"/>
    <col min="3082" max="3082" width="9.140625" style="577"/>
    <col min="3083" max="3083" width="10.140625" style="577" customWidth="1"/>
    <col min="3084" max="3084" width="11" style="577" customWidth="1"/>
    <col min="3085" max="3328" width="9.140625" style="577"/>
    <col min="3329" max="3329" width="8.5703125" style="577" customWidth="1"/>
    <col min="3330" max="3330" width="17.85546875" style="577" customWidth="1"/>
    <col min="3331" max="3331" width="11.140625" style="577" customWidth="1"/>
    <col min="3332" max="3333" width="9.140625" style="577"/>
    <col min="3334" max="3334" width="7.85546875" style="577" customWidth="1"/>
    <col min="3335" max="3335" width="8.42578125" style="577" customWidth="1"/>
    <col min="3336" max="3336" width="9.28515625" style="577" customWidth="1"/>
    <col min="3337" max="3337" width="10.28515625" style="577" customWidth="1"/>
    <col min="3338" max="3338" width="9.140625" style="577"/>
    <col min="3339" max="3339" width="10.140625" style="577" customWidth="1"/>
    <col min="3340" max="3340" width="11" style="577" customWidth="1"/>
    <col min="3341" max="3584" width="9.140625" style="577"/>
    <col min="3585" max="3585" width="8.5703125" style="577" customWidth="1"/>
    <col min="3586" max="3586" width="17.85546875" style="577" customWidth="1"/>
    <col min="3587" max="3587" width="11.140625" style="577" customWidth="1"/>
    <col min="3588" max="3589" width="9.140625" style="577"/>
    <col min="3590" max="3590" width="7.85546875" style="577" customWidth="1"/>
    <col min="3591" max="3591" width="8.42578125" style="577" customWidth="1"/>
    <col min="3592" max="3592" width="9.28515625" style="577" customWidth="1"/>
    <col min="3593" max="3593" width="10.28515625" style="577" customWidth="1"/>
    <col min="3594" max="3594" width="9.140625" style="577"/>
    <col min="3595" max="3595" width="10.140625" style="577" customWidth="1"/>
    <col min="3596" max="3596" width="11" style="577" customWidth="1"/>
    <col min="3597" max="3840" width="9.140625" style="577"/>
    <col min="3841" max="3841" width="8.5703125" style="577" customWidth="1"/>
    <col min="3842" max="3842" width="17.85546875" style="577" customWidth="1"/>
    <col min="3843" max="3843" width="11.140625" style="577" customWidth="1"/>
    <col min="3844" max="3845" width="9.140625" style="577"/>
    <col min="3846" max="3846" width="7.85546875" style="577" customWidth="1"/>
    <col min="3847" max="3847" width="8.42578125" style="577" customWidth="1"/>
    <col min="3848" max="3848" width="9.28515625" style="577" customWidth="1"/>
    <col min="3849" max="3849" width="10.28515625" style="577" customWidth="1"/>
    <col min="3850" max="3850" width="9.140625" style="577"/>
    <col min="3851" max="3851" width="10.140625" style="577" customWidth="1"/>
    <col min="3852" max="3852" width="11" style="577" customWidth="1"/>
    <col min="3853" max="4096" width="9.140625" style="577"/>
    <col min="4097" max="4097" width="8.5703125" style="577" customWidth="1"/>
    <col min="4098" max="4098" width="17.85546875" style="577" customWidth="1"/>
    <col min="4099" max="4099" width="11.140625" style="577" customWidth="1"/>
    <col min="4100" max="4101" width="9.140625" style="577"/>
    <col min="4102" max="4102" width="7.85546875" style="577" customWidth="1"/>
    <col min="4103" max="4103" width="8.42578125" style="577" customWidth="1"/>
    <col min="4104" max="4104" width="9.28515625" style="577" customWidth="1"/>
    <col min="4105" max="4105" width="10.28515625" style="577" customWidth="1"/>
    <col min="4106" max="4106" width="9.140625" style="577"/>
    <col min="4107" max="4107" width="10.140625" style="577" customWidth="1"/>
    <col min="4108" max="4108" width="11" style="577" customWidth="1"/>
    <col min="4109" max="4352" width="9.140625" style="577"/>
    <col min="4353" max="4353" width="8.5703125" style="577" customWidth="1"/>
    <col min="4354" max="4354" width="17.85546875" style="577" customWidth="1"/>
    <col min="4355" max="4355" width="11.140625" style="577" customWidth="1"/>
    <col min="4356" max="4357" width="9.140625" style="577"/>
    <col min="4358" max="4358" width="7.85546875" style="577" customWidth="1"/>
    <col min="4359" max="4359" width="8.42578125" style="577" customWidth="1"/>
    <col min="4360" max="4360" width="9.28515625" style="577" customWidth="1"/>
    <col min="4361" max="4361" width="10.28515625" style="577" customWidth="1"/>
    <col min="4362" max="4362" width="9.140625" style="577"/>
    <col min="4363" max="4363" width="10.140625" style="577" customWidth="1"/>
    <col min="4364" max="4364" width="11" style="577" customWidth="1"/>
    <col min="4365" max="4608" width="9.140625" style="577"/>
    <col min="4609" max="4609" width="8.5703125" style="577" customWidth="1"/>
    <col min="4610" max="4610" width="17.85546875" style="577" customWidth="1"/>
    <col min="4611" max="4611" width="11.140625" style="577" customWidth="1"/>
    <col min="4612" max="4613" width="9.140625" style="577"/>
    <col min="4614" max="4614" width="7.85546875" style="577" customWidth="1"/>
    <col min="4615" max="4615" width="8.42578125" style="577" customWidth="1"/>
    <col min="4616" max="4616" width="9.28515625" style="577" customWidth="1"/>
    <col min="4617" max="4617" width="10.28515625" style="577" customWidth="1"/>
    <col min="4618" max="4618" width="9.140625" style="577"/>
    <col min="4619" max="4619" width="10.140625" style="577" customWidth="1"/>
    <col min="4620" max="4620" width="11" style="577" customWidth="1"/>
    <col min="4621" max="4864" width="9.140625" style="577"/>
    <col min="4865" max="4865" width="8.5703125" style="577" customWidth="1"/>
    <col min="4866" max="4866" width="17.85546875" style="577" customWidth="1"/>
    <col min="4867" max="4867" width="11.140625" style="577" customWidth="1"/>
    <col min="4868" max="4869" width="9.140625" style="577"/>
    <col min="4870" max="4870" width="7.85546875" style="577" customWidth="1"/>
    <col min="4871" max="4871" width="8.42578125" style="577" customWidth="1"/>
    <col min="4872" max="4872" width="9.28515625" style="577" customWidth="1"/>
    <col min="4873" max="4873" width="10.28515625" style="577" customWidth="1"/>
    <col min="4874" max="4874" width="9.140625" style="577"/>
    <col min="4875" max="4875" width="10.140625" style="577" customWidth="1"/>
    <col min="4876" max="4876" width="11" style="577" customWidth="1"/>
    <col min="4877" max="5120" width="9.140625" style="577"/>
    <col min="5121" max="5121" width="8.5703125" style="577" customWidth="1"/>
    <col min="5122" max="5122" width="17.85546875" style="577" customWidth="1"/>
    <col min="5123" max="5123" width="11.140625" style="577" customWidth="1"/>
    <col min="5124" max="5125" width="9.140625" style="577"/>
    <col min="5126" max="5126" width="7.85546875" style="577" customWidth="1"/>
    <col min="5127" max="5127" width="8.42578125" style="577" customWidth="1"/>
    <col min="5128" max="5128" width="9.28515625" style="577" customWidth="1"/>
    <col min="5129" max="5129" width="10.28515625" style="577" customWidth="1"/>
    <col min="5130" max="5130" width="9.140625" style="577"/>
    <col min="5131" max="5131" width="10.140625" style="577" customWidth="1"/>
    <col min="5132" max="5132" width="11" style="577" customWidth="1"/>
    <col min="5133" max="5376" width="9.140625" style="577"/>
    <col min="5377" max="5377" width="8.5703125" style="577" customWidth="1"/>
    <col min="5378" max="5378" width="17.85546875" style="577" customWidth="1"/>
    <col min="5379" max="5379" width="11.140625" style="577" customWidth="1"/>
    <col min="5380" max="5381" width="9.140625" style="577"/>
    <col min="5382" max="5382" width="7.85546875" style="577" customWidth="1"/>
    <col min="5383" max="5383" width="8.42578125" style="577" customWidth="1"/>
    <col min="5384" max="5384" width="9.28515625" style="577" customWidth="1"/>
    <col min="5385" max="5385" width="10.28515625" style="577" customWidth="1"/>
    <col min="5386" max="5386" width="9.140625" style="577"/>
    <col min="5387" max="5387" width="10.140625" style="577" customWidth="1"/>
    <col min="5388" max="5388" width="11" style="577" customWidth="1"/>
    <col min="5389" max="5632" width="9.140625" style="577"/>
    <col min="5633" max="5633" width="8.5703125" style="577" customWidth="1"/>
    <col min="5634" max="5634" width="17.85546875" style="577" customWidth="1"/>
    <col min="5635" max="5635" width="11.140625" style="577" customWidth="1"/>
    <col min="5636" max="5637" width="9.140625" style="577"/>
    <col min="5638" max="5638" width="7.85546875" style="577" customWidth="1"/>
    <col min="5639" max="5639" width="8.42578125" style="577" customWidth="1"/>
    <col min="5640" max="5640" width="9.28515625" style="577" customWidth="1"/>
    <col min="5641" max="5641" width="10.28515625" style="577" customWidth="1"/>
    <col min="5642" max="5642" width="9.140625" style="577"/>
    <col min="5643" max="5643" width="10.140625" style="577" customWidth="1"/>
    <col min="5644" max="5644" width="11" style="577" customWidth="1"/>
    <col min="5645" max="5888" width="9.140625" style="577"/>
    <col min="5889" max="5889" width="8.5703125" style="577" customWidth="1"/>
    <col min="5890" max="5890" width="17.85546875" style="577" customWidth="1"/>
    <col min="5891" max="5891" width="11.140625" style="577" customWidth="1"/>
    <col min="5892" max="5893" width="9.140625" style="577"/>
    <col min="5894" max="5894" width="7.85546875" style="577" customWidth="1"/>
    <col min="5895" max="5895" width="8.42578125" style="577" customWidth="1"/>
    <col min="5896" max="5896" width="9.28515625" style="577" customWidth="1"/>
    <col min="5897" max="5897" width="10.28515625" style="577" customWidth="1"/>
    <col min="5898" max="5898" width="9.140625" style="577"/>
    <col min="5899" max="5899" width="10.140625" style="577" customWidth="1"/>
    <col min="5900" max="5900" width="11" style="577" customWidth="1"/>
    <col min="5901" max="6144" width="9.140625" style="577"/>
    <col min="6145" max="6145" width="8.5703125" style="577" customWidth="1"/>
    <col min="6146" max="6146" width="17.85546875" style="577" customWidth="1"/>
    <col min="6147" max="6147" width="11.140625" style="577" customWidth="1"/>
    <col min="6148" max="6149" width="9.140625" style="577"/>
    <col min="6150" max="6150" width="7.85546875" style="577" customWidth="1"/>
    <col min="6151" max="6151" width="8.42578125" style="577" customWidth="1"/>
    <col min="6152" max="6152" width="9.28515625" style="577" customWidth="1"/>
    <col min="6153" max="6153" width="10.28515625" style="577" customWidth="1"/>
    <col min="6154" max="6154" width="9.140625" style="577"/>
    <col min="6155" max="6155" width="10.140625" style="577" customWidth="1"/>
    <col min="6156" max="6156" width="11" style="577" customWidth="1"/>
    <col min="6157" max="6400" width="9.140625" style="577"/>
    <col min="6401" max="6401" width="8.5703125" style="577" customWidth="1"/>
    <col min="6402" max="6402" width="17.85546875" style="577" customWidth="1"/>
    <col min="6403" max="6403" width="11.140625" style="577" customWidth="1"/>
    <col min="6404" max="6405" width="9.140625" style="577"/>
    <col min="6406" max="6406" width="7.85546875" style="577" customWidth="1"/>
    <col min="6407" max="6407" width="8.42578125" style="577" customWidth="1"/>
    <col min="6408" max="6408" width="9.28515625" style="577" customWidth="1"/>
    <col min="6409" max="6409" width="10.28515625" style="577" customWidth="1"/>
    <col min="6410" max="6410" width="9.140625" style="577"/>
    <col min="6411" max="6411" width="10.140625" style="577" customWidth="1"/>
    <col min="6412" max="6412" width="11" style="577" customWidth="1"/>
    <col min="6413" max="6656" width="9.140625" style="577"/>
    <col min="6657" max="6657" width="8.5703125" style="577" customWidth="1"/>
    <col min="6658" max="6658" width="17.85546875" style="577" customWidth="1"/>
    <col min="6659" max="6659" width="11.140625" style="577" customWidth="1"/>
    <col min="6660" max="6661" width="9.140625" style="577"/>
    <col min="6662" max="6662" width="7.85546875" style="577" customWidth="1"/>
    <col min="6663" max="6663" width="8.42578125" style="577" customWidth="1"/>
    <col min="6664" max="6664" width="9.28515625" style="577" customWidth="1"/>
    <col min="6665" max="6665" width="10.28515625" style="577" customWidth="1"/>
    <col min="6666" max="6666" width="9.140625" style="577"/>
    <col min="6667" max="6667" width="10.140625" style="577" customWidth="1"/>
    <col min="6668" max="6668" width="11" style="577" customWidth="1"/>
    <col min="6669" max="6912" width="9.140625" style="577"/>
    <col min="6913" max="6913" width="8.5703125" style="577" customWidth="1"/>
    <col min="6914" max="6914" width="17.85546875" style="577" customWidth="1"/>
    <col min="6915" max="6915" width="11.140625" style="577" customWidth="1"/>
    <col min="6916" max="6917" width="9.140625" style="577"/>
    <col min="6918" max="6918" width="7.85546875" style="577" customWidth="1"/>
    <col min="6919" max="6919" width="8.42578125" style="577" customWidth="1"/>
    <col min="6920" max="6920" width="9.28515625" style="577" customWidth="1"/>
    <col min="6921" max="6921" width="10.28515625" style="577" customWidth="1"/>
    <col min="6922" max="6922" width="9.140625" style="577"/>
    <col min="6923" max="6923" width="10.140625" style="577" customWidth="1"/>
    <col min="6924" max="6924" width="11" style="577" customWidth="1"/>
    <col min="6925" max="7168" width="9.140625" style="577"/>
    <col min="7169" max="7169" width="8.5703125" style="577" customWidth="1"/>
    <col min="7170" max="7170" width="17.85546875" style="577" customWidth="1"/>
    <col min="7171" max="7171" width="11.140625" style="577" customWidth="1"/>
    <col min="7172" max="7173" width="9.140625" style="577"/>
    <col min="7174" max="7174" width="7.85546875" style="577" customWidth="1"/>
    <col min="7175" max="7175" width="8.42578125" style="577" customWidth="1"/>
    <col min="7176" max="7176" width="9.28515625" style="577" customWidth="1"/>
    <col min="7177" max="7177" width="10.28515625" style="577" customWidth="1"/>
    <col min="7178" max="7178" width="9.140625" style="577"/>
    <col min="7179" max="7179" width="10.140625" style="577" customWidth="1"/>
    <col min="7180" max="7180" width="11" style="577" customWidth="1"/>
    <col min="7181" max="7424" width="9.140625" style="577"/>
    <col min="7425" max="7425" width="8.5703125" style="577" customWidth="1"/>
    <col min="7426" max="7426" width="17.85546875" style="577" customWidth="1"/>
    <col min="7427" max="7427" width="11.140625" style="577" customWidth="1"/>
    <col min="7428" max="7429" width="9.140625" style="577"/>
    <col min="7430" max="7430" width="7.85546875" style="577" customWidth="1"/>
    <col min="7431" max="7431" width="8.42578125" style="577" customWidth="1"/>
    <col min="7432" max="7432" width="9.28515625" style="577" customWidth="1"/>
    <col min="7433" max="7433" width="10.28515625" style="577" customWidth="1"/>
    <col min="7434" max="7434" width="9.140625" style="577"/>
    <col min="7435" max="7435" width="10.140625" style="577" customWidth="1"/>
    <col min="7436" max="7436" width="11" style="577" customWidth="1"/>
    <col min="7437" max="7680" width="9.140625" style="577"/>
    <col min="7681" max="7681" width="8.5703125" style="577" customWidth="1"/>
    <col min="7682" max="7682" width="17.85546875" style="577" customWidth="1"/>
    <col min="7683" max="7683" width="11.140625" style="577" customWidth="1"/>
    <col min="7684" max="7685" width="9.140625" style="577"/>
    <col min="7686" max="7686" width="7.85546875" style="577" customWidth="1"/>
    <col min="7687" max="7687" width="8.42578125" style="577" customWidth="1"/>
    <col min="7688" max="7688" width="9.28515625" style="577" customWidth="1"/>
    <col min="7689" max="7689" width="10.28515625" style="577" customWidth="1"/>
    <col min="7690" max="7690" width="9.140625" style="577"/>
    <col min="7691" max="7691" width="10.140625" style="577" customWidth="1"/>
    <col min="7692" max="7692" width="11" style="577" customWidth="1"/>
    <col min="7693" max="7936" width="9.140625" style="577"/>
    <col min="7937" max="7937" width="8.5703125" style="577" customWidth="1"/>
    <col min="7938" max="7938" width="17.85546875" style="577" customWidth="1"/>
    <col min="7939" max="7939" width="11.140625" style="577" customWidth="1"/>
    <col min="7940" max="7941" width="9.140625" style="577"/>
    <col min="7942" max="7942" width="7.85546875" style="577" customWidth="1"/>
    <col min="7943" max="7943" width="8.42578125" style="577" customWidth="1"/>
    <col min="7944" max="7944" width="9.28515625" style="577" customWidth="1"/>
    <col min="7945" max="7945" width="10.28515625" style="577" customWidth="1"/>
    <col min="7946" max="7946" width="9.140625" style="577"/>
    <col min="7947" max="7947" width="10.140625" style="577" customWidth="1"/>
    <col min="7948" max="7948" width="11" style="577" customWidth="1"/>
    <col min="7949" max="8192" width="9.140625" style="577"/>
    <col min="8193" max="8193" width="8.5703125" style="577" customWidth="1"/>
    <col min="8194" max="8194" width="17.85546875" style="577" customWidth="1"/>
    <col min="8195" max="8195" width="11.140625" style="577" customWidth="1"/>
    <col min="8196" max="8197" width="9.140625" style="577"/>
    <col min="8198" max="8198" width="7.85546875" style="577" customWidth="1"/>
    <col min="8199" max="8199" width="8.42578125" style="577" customWidth="1"/>
    <col min="8200" max="8200" width="9.28515625" style="577" customWidth="1"/>
    <col min="8201" max="8201" width="10.28515625" style="577" customWidth="1"/>
    <col min="8202" max="8202" width="9.140625" style="577"/>
    <col min="8203" max="8203" width="10.140625" style="577" customWidth="1"/>
    <col min="8204" max="8204" width="11" style="577" customWidth="1"/>
    <col min="8205" max="8448" width="9.140625" style="577"/>
    <col min="8449" max="8449" width="8.5703125" style="577" customWidth="1"/>
    <col min="8450" max="8450" width="17.85546875" style="577" customWidth="1"/>
    <col min="8451" max="8451" width="11.140625" style="577" customWidth="1"/>
    <col min="8452" max="8453" width="9.140625" style="577"/>
    <col min="8454" max="8454" width="7.85546875" style="577" customWidth="1"/>
    <col min="8455" max="8455" width="8.42578125" style="577" customWidth="1"/>
    <col min="8456" max="8456" width="9.28515625" style="577" customWidth="1"/>
    <col min="8457" max="8457" width="10.28515625" style="577" customWidth="1"/>
    <col min="8458" max="8458" width="9.140625" style="577"/>
    <col min="8459" max="8459" width="10.140625" style="577" customWidth="1"/>
    <col min="8460" max="8460" width="11" style="577" customWidth="1"/>
    <col min="8461" max="8704" width="9.140625" style="577"/>
    <col min="8705" max="8705" width="8.5703125" style="577" customWidth="1"/>
    <col min="8706" max="8706" width="17.85546875" style="577" customWidth="1"/>
    <col min="8707" max="8707" width="11.140625" style="577" customWidth="1"/>
    <col min="8708" max="8709" width="9.140625" style="577"/>
    <col min="8710" max="8710" width="7.85546875" style="577" customWidth="1"/>
    <col min="8711" max="8711" width="8.42578125" style="577" customWidth="1"/>
    <col min="8712" max="8712" width="9.28515625" style="577" customWidth="1"/>
    <col min="8713" max="8713" width="10.28515625" style="577" customWidth="1"/>
    <col min="8714" max="8714" width="9.140625" style="577"/>
    <col min="8715" max="8715" width="10.140625" style="577" customWidth="1"/>
    <col min="8716" max="8716" width="11" style="577" customWidth="1"/>
    <col min="8717" max="8960" width="9.140625" style="577"/>
    <col min="8961" max="8961" width="8.5703125" style="577" customWidth="1"/>
    <col min="8962" max="8962" width="17.85546875" style="577" customWidth="1"/>
    <col min="8963" max="8963" width="11.140625" style="577" customWidth="1"/>
    <col min="8964" max="8965" width="9.140625" style="577"/>
    <col min="8966" max="8966" width="7.85546875" style="577" customWidth="1"/>
    <col min="8967" max="8967" width="8.42578125" style="577" customWidth="1"/>
    <col min="8968" max="8968" width="9.28515625" style="577" customWidth="1"/>
    <col min="8969" max="8969" width="10.28515625" style="577" customWidth="1"/>
    <col min="8970" max="8970" width="9.140625" style="577"/>
    <col min="8971" max="8971" width="10.140625" style="577" customWidth="1"/>
    <col min="8972" max="8972" width="11" style="577" customWidth="1"/>
    <col min="8973" max="9216" width="9.140625" style="577"/>
    <col min="9217" max="9217" width="8.5703125" style="577" customWidth="1"/>
    <col min="9218" max="9218" width="17.85546875" style="577" customWidth="1"/>
    <col min="9219" max="9219" width="11.140625" style="577" customWidth="1"/>
    <col min="9220" max="9221" width="9.140625" style="577"/>
    <col min="9222" max="9222" width="7.85546875" style="577" customWidth="1"/>
    <col min="9223" max="9223" width="8.42578125" style="577" customWidth="1"/>
    <col min="9224" max="9224" width="9.28515625" style="577" customWidth="1"/>
    <col min="9225" max="9225" width="10.28515625" style="577" customWidth="1"/>
    <col min="9226" max="9226" width="9.140625" style="577"/>
    <col min="9227" max="9227" width="10.140625" style="577" customWidth="1"/>
    <col min="9228" max="9228" width="11" style="577" customWidth="1"/>
    <col min="9229" max="9472" width="9.140625" style="577"/>
    <col min="9473" max="9473" width="8.5703125" style="577" customWidth="1"/>
    <col min="9474" max="9474" width="17.85546875" style="577" customWidth="1"/>
    <col min="9475" max="9475" width="11.140625" style="577" customWidth="1"/>
    <col min="9476" max="9477" width="9.140625" style="577"/>
    <col min="9478" max="9478" width="7.85546875" style="577" customWidth="1"/>
    <col min="9479" max="9479" width="8.42578125" style="577" customWidth="1"/>
    <col min="9480" max="9480" width="9.28515625" style="577" customWidth="1"/>
    <col min="9481" max="9481" width="10.28515625" style="577" customWidth="1"/>
    <col min="9482" max="9482" width="9.140625" style="577"/>
    <col min="9483" max="9483" width="10.140625" style="577" customWidth="1"/>
    <col min="9484" max="9484" width="11" style="577" customWidth="1"/>
    <col min="9485" max="9728" width="9.140625" style="577"/>
    <col min="9729" max="9729" width="8.5703125" style="577" customWidth="1"/>
    <col min="9730" max="9730" width="17.85546875" style="577" customWidth="1"/>
    <col min="9731" max="9731" width="11.140625" style="577" customWidth="1"/>
    <col min="9732" max="9733" width="9.140625" style="577"/>
    <col min="9734" max="9734" width="7.85546875" style="577" customWidth="1"/>
    <col min="9735" max="9735" width="8.42578125" style="577" customWidth="1"/>
    <col min="9736" max="9736" width="9.28515625" style="577" customWidth="1"/>
    <col min="9737" max="9737" width="10.28515625" style="577" customWidth="1"/>
    <col min="9738" max="9738" width="9.140625" style="577"/>
    <col min="9739" max="9739" width="10.140625" style="577" customWidth="1"/>
    <col min="9740" max="9740" width="11" style="577" customWidth="1"/>
    <col min="9741" max="9984" width="9.140625" style="577"/>
    <col min="9985" max="9985" width="8.5703125" style="577" customWidth="1"/>
    <col min="9986" max="9986" width="17.85546875" style="577" customWidth="1"/>
    <col min="9987" max="9987" width="11.140625" style="577" customWidth="1"/>
    <col min="9988" max="9989" width="9.140625" style="577"/>
    <col min="9990" max="9990" width="7.85546875" style="577" customWidth="1"/>
    <col min="9991" max="9991" width="8.42578125" style="577" customWidth="1"/>
    <col min="9992" max="9992" width="9.28515625" style="577" customWidth="1"/>
    <col min="9993" max="9993" width="10.28515625" style="577" customWidth="1"/>
    <col min="9994" max="9994" width="9.140625" style="577"/>
    <col min="9995" max="9995" width="10.140625" style="577" customWidth="1"/>
    <col min="9996" max="9996" width="11" style="577" customWidth="1"/>
    <col min="9997" max="10240" width="9.140625" style="577"/>
    <col min="10241" max="10241" width="8.5703125" style="577" customWidth="1"/>
    <col min="10242" max="10242" width="17.85546875" style="577" customWidth="1"/>
    <col min="10243" max="10243" width="11.140625" style="577" customWidth="1"/>
    <col min="10244" max="10245" width="9.140625" style="577"/>
    <col min="10246" max="10246" width="7.85546875" style="577" customWidth="1"/>
    <col min="10247" max="10247" width="8.42578125" style="577" customWidth="1"/>
    <col min="10248" max="10248" width="9.28515625" style="577" customWidth="1"/>
    <col min="10249" max="10249" width="10.28515625" style="577" customWidth="1"/>
    <col min="10250" max="10250" width="9.140625" style="577"/>
    <col min="10251" max="10251" width="10.140625" style="577" customWidth="1"/>
    <col min="10252" max="10252" width="11" style="577" customWidth="1"/>
    <col min="10253" max="10496" width="9.140625" style="577"/>
    <col min="10497" max="10497" width="8.5703125" style="577" customWidth="1"/>
    <col min="10498" max="10498" width="17.85546875" style="577" customWidth="1"/>
    <col min="10499" max="10499" width="11.140625" style="577" customWidth="1"/>
    <col min="10500" max="10501" width="9.140625" style="577"/>
    <col min="10502" max="10502" width="7.85546875" style="577" customWidth="1"/>
    <col min="10503" max="10503" width="8.42578125" style="577" customWidth="1"/>
    <col min="10504" max="10504" width="9.28515625" style="577" customWidth="1"/>
    <col min="10505" max="10505" width="10.28515625" style="577" customWidth="1"/>
    <col min="10506" max="10506" width="9.140625" style="577"/>
    <col min="10507" max="10507" width="10.140625" style="577" customWidth="1"/>
    <col min="10508" max="10508" width="11" style="577" customWidth="1"/>
    <col min="10509" max="10752" width="9.140625" style="577"/>
    <col min="10753" max="10753" width="8.5703125" style="577" customWidth="1"/>
    <col min="10754" max="10754" width="17.85546875" style="577" customWidth="1"/>
    <col min="10755" max="10755" width="11.140625" style="577" customWidth="1"/>
    <col min="10756" max="10757" width="9.140625" style="577"/>
    <col min="10758" max="10758" width="7.85546875" style="577" customWidth="1"/>
    <col min="10759" max="10759" width="8.42578125" style="577" customWidth="1"/>
    <col min="10760" max="10760" width="9.28515625" style="577" customWidth="1"/>
    <col min="10761" max="10761" width="10.28515625" style="577" customWidth="1"/>
    <col min="10762" max="10762" width="9.140625" style="577"/>
    <col min="10763" max="10763" width="10.140625" style="577" customWidth="1"/>
    <col min="10764" max="10764" width="11" style="577" customWidth="1"/>
    <col min="10765" max="11008" width="9.140625" style="577"/>
    <col min="11009" max="11009" width="8.5703125" style="577" customWidth="1"/>
    <col min="11010" max="11010" width="17.85546875" style="577" customWidth="1"/>
    <col min="11011" max="11011" width="11.140625" style="577" customWidth="1"/>
    <col min="11012" max="11013" width="9.140625" style="577"/>
    <col min="11014" max="11014" width="7.85546875" style="577" customWidth="1"/>
    <col min="11015" max="11015" width="8.42578125" style="577" customWidth="1"/>
    <col min="11016" max="11016" width="9.28515625" style="577" customWidth="1"/>
    <col min="11017" max="11017" width="10.28515625" style="577" customWidth="1"/>
    <col min="11018" max="11018" width="9.140625" style="577"/>
    <col min="11019" max="11019" width="10.140625" style="577" customWidth="1"/>
    <col min="11020" max="11020" width="11" style="577" customWidth="1"/>
    <col min="11021" max="11264" width="9.140625" style="577"/>
    <col min="11265" max="11265" width="8.5703125" style="577" customWidth="1"/>
    <col min="11266" max="11266" width="17.85546875" style="577" customWidth="1"/>
    <col min="11267" max="11267" width="11.140625" style="577" customWidth="1"/>
    <col min="11268" max="11269" width="9.140625" style="577"/>
    <col min="11270" max="11270" width="7.85546875" style="577" customWidth="1"/>
    <col min="11271" max="11271" width="8.42578125" style="577" customWidth="1"/>
    <col min="11272" max="11272" width="9.28515625" style="577" customWidth="1"/>
    <col min="11273" max="11273" width="10.28515625" style="577" customWidth="1"/>
    <col min="11274" max="11274" width="9.140625" style="577"/>
    <col min="11275" max="11275" width="10.140625" style="577" customWidth="1"/>
    <col min="11276" max="11276" width="11" style="577" customWidth="1"/>
    <col min="11277" max="11520" width="9.140625" style="577"/>
    <col min="11521" max="11521" width="8.5703125" style="577" customWidth="1"/>
    <col min="11522" max="11522" width="17.85546875" style="577" customWidth="1"/>
    <col min="11523" max="11523" width="11.140625" style="577" customWidth="1"/>
    <col min="11524" max="11525" width="9.140625" style="577"/>
    <col min="11526" max="11526" width="7.85546875" style="577" customWidth="1"/>
    <col min="11527" max="11527" width="8.42578125" style="577" customWidth="1"/>
    <col min="11528" max="11528" width="9.28515625" style="577" customWidth="1"/>
    <col min="11529" max="11529" width="10.28515625" style="577" customWidth="1"/>
    <col min="11530" max="11530" width="9.140625" style="577"/>
    <col min="11531" max="11531" width="10.140625" style="577" customWidth="1"/>
    <col min="11532" max="11532" width="11" style="577" customWidth="1"/>
    <col min="11533" max="11776" width="9.140625" style="577"/>
    <col min="11777" max="11777" width="8.5703125" style="577" customWidth="1"/>
    <col min="11778" max="11778" width="17.85546875" style="577" customWidth="1"/>
    <col min="11779" max="11779" width="11.140625" style="577" customWidth="1"/>
    <col min="11780" max="11781" width="9.140625" style="577"/>
    <col min="11782" max="11782" width="7.85546875" style="577" customWidth="1"/>
    <col min="11783" max="11783" width="8.42578125" style="577" customWidth="1"/>
    <col min="11784" max="11784" width="9.28515625" style="577" customWidth="1"/>
    <col min="11785" max="11785" width="10.28515625" style="577" customWidth="1"/>
    <col min="11786" max="11786" width="9.140625" style="577"/>
    <col min="11787" max="11787" width="10.140625" style="577" customWidth="1"/>
    <col min="11788" max="11788" width="11" style="577" customWidth="1"/>
    <col min="11789" max="12032" width="9.140625" style="577"/>
    <col min="12033" max="12033" width="8.5703125" style="577" customWidth="1"/>
    <col min="12034" max="12034" width="17.85546875" style="577" customWidth="1"/>
    <col min="12035" max="12035" width="11.140625" style="577" customWidth="1"/>
    <col min="12036" max="12037" width="9.140625" style="577"/>
    <col min="12038" max="12038" width="7.85546875" style="577" customWidth="1"/>
    <col min="12039" max="12039" width="8.42578125" style="577" customWidth="1"/>
    <col min="12040" max="12040" width="9.28515625" style="577" customWidth="1"/>
    <col min="12041" max="12041" width="10.28515625" style="577" customWidth="1"/>
    <col min="12042" max="12042" width="9.140625" style="577"/>
    <col min="12043" max="12043" width="10.140625" style="577" customWidth="1"/>
    <col min="12044" max="12044" width="11" style="577" customWidth="1"/>
    <col min="12045" max="12288" width="9.140625" style="577"/>
    <col min="12289" max="12289" width="8.5703125" style="577" customWidth="1"/>
    <col min="12290" max="12290" width="17.85546875" style="577" customWidth="1"/>
    <col min="12291" max="12291" width="11.140625" style="577" customWidth="1"/>
    <col min="12292" max="12293" width="9.140625" style="577"/>
    <col min="12294" max="12294" width="7.85546875" style="577" customWidth="1"/>
    <col min="12295" max="12295" width="8.42578125" style="577" customWidth="1"/>
    <col min="12296" max="12296" width="9.28515625" style="577" customWidth="1"/>
    <col min="12297" max="12297" width="10.28515625" style="577" customWidth="1"/>
    <col min="12298" max="12298" width="9.140625" style="577"/>
    <col min="12299" max="12299" width="10.140625" style="577" customWidth="1"/>
    <col min="12300" max="12300" width="11" style="577" customWidth="1"/>
    <col min="12301" max="12544" width="9.140625" style="577"/>
    <col min="12545" max="12545" width="8.5703125" style="577" customWidth="1"/>
    <col min="12546" max="12546" width="17.85546875" style="577" customWidth="1"/>
    <col min="12547" max="12547" width="11.140625" style="577" customWidth="1"/>
    <col min="12548" max="12549" width="9.140625" style="577"/>
    <col min="12550" max="12550" width="7.85546875" style="577" customWidth="1"/>
    <col min="12551" max="12551" width="8.42578125" style="577" customWidth="1"/>
    <col min="12552" max="12552" width="9.28515625" style="577" customWidth="1"/>
    <col min="12553" max="12553" width="10.28515625" style="577" customWidth="1"/>
    <col min="12554" max="12554" width="9.140625" style="577"/>
    <col min="12555" max="12555" width="10.140625" style="577" customWidth="1"/>
    <col min="12556" max="12556" width="11" style="577" customWidth="1"/>
    <col min="12557" max="12800" width="9.140625" style="577"/>
    <col min="12801" max="12801" width="8.5703125" style="577" customWidth="1"/>
    <col min="12802" max="12802" width="17.85546875" style="577" customWidth="1"/>
    <col min="12803" max="12803" width="11.140625" style="577" customWidth="1"/>
    <col min="12804" max="12805" width="9.140625" style="577"/>
    <col min="12806" max="12806" width="7.85546875" style="577" customWidth="1"/>
    <col min="12807" max="12807" width="8.42578125" style="577" customWidth="1"/>
    <col min="12808" max="12808" width="9.28515625" style="577" customWidth="1"/>
    <col min="12809" max="12809" width="10.28515625" style="577" customWidth="1"/>
    <col min="12810" max="12810" width="9.140625" style="577"/>
    <col min="12811" max="12811" width="10.140625" style="577" customWidth="1"/>
    <col min="12812" max="12812" width="11" style="577" customWidth="1"/>
    <col min="12813" max="13056" width="9.140625" style="577"/>
    <col min="13057" max="13057" width="8.5703125" style="577" customWidth="1"/>
    <col min="13058" max="13058" width="17.85546875" style="577" customWidth="1"/>
    <col min="13059" max="13059" width="11.140625" style="577" customWidth="1"/>
    <col min="13060" max="13061" width="9.140625" style="577"/>
    <col min="13062" max="13062" width="7.85546875" style="577" customWidth="1"/>
    <col min="13063" max="13063" width="8.42578125" style="577" customWidth="1"/>
    <col min="13064" max="13064" width="9.28515625" style="577" customWidth="1"/>
    <col min="13065" max="13065" width="10.28515625" style="577" customWidth="1"/>
    <col min="13066" max="13066" width="9.140625" style="577"/>
    <col min="13067" max="13067" width="10.140625" style="577" customWidth="1"/>
    <col min="13068" max="13068" width="11" style="577" customWidth="1"/>
    <col min="13069" max="13312" width="9.140625" style="577"/>
    <col min="13313" max="13313" width="8.5703125" style="577" customWidth="1"/>
    <col min="13314" max="13314" width="17.85546875" style="577" customWidth="1"/>
    <col min="13315" max="13315" width="11.140625" style="577" customWidth="1"/>
    <col min="13316" max="13317" width="9.140625" style="577"/>
    <col min="13318" max="13318" width="7.85546875" style="577" customWidth="1"/>
    <col min="13319" max="13319" width="8.42578125" style="577" customWidth="1"/>
    <col min="13320" max="13320" width="9.28515625" style="577" customWidth="1"/>
    <col min="13321" max="13321" width="10.28515625" style="577" customWidth="1"/>
    <col min="13322" max="13322" width="9.140625" style="577"/>
    <col min="13323" max="13323" width="10.140625" style="577" customWidth="1"/>
    <col min="13324" max="13324" width="11" style="577" customWidth="1"/>
    <col min="13325" max="13568" width="9.140625" style="577"/>
    <col min="13569" max="13569" width="8.5703125" style="577" customWidth="1"/>
    <col min="13570" max="13570" width="17.85546875" style="577" customWidth="1"/>
    <col min="13571" max="13571" width="11.140625" style="577" customWidth="1"/>
    <col min="13572" max="13573" width="9.140625" style="577"/>
    <col min="13574" max="13574" width="7.85546875" style="577" customWidth="1"/>
    <col min="13575" max="13575" width="8.42578125" style="577" customWidth="1"/>
    <col min="13576" max="13576" width="9.28515625" style="577" customWidth="1"/>
    <col min="13577" max="13577" width="10.28515625" style="577" customWidth="1"/>
    <col min="13578" max="13578" width="9.140625" style="577"/>
    <col min="13579" max="13579" width="10.140625" style="577" customWidth="1"/>
    <col min="13580" max="13580" width="11" style="577" customWidth="1"/>
    <col min="13581" max="13824" width="9.140625" style="577"/>
    <col min="13825" max="13825" width="8.5703125" style="577" customWidth="1"/>
    <col min="13826" max="13826" width="17.85546875" style="577" customWidth="1"/>
    <col min="13827" max="13827" width="11.140625" style="577" customWidth="1"/>
    <col min="13828" max="13829" width="9.140625" style="577"/>
    <col min="13830" max="13830" width="7.85546875" style="577" customWidth="1"/>
    <col min="13831" max="13831" width="8.42578125" style="577" customWidth="1"/>
    <col min="13832" max="13832" width="9.28515625" style="577" customWidth="1"/>
    <col min="13833" max="13833" width="10.28515625" style="577" customWidth="1"/>
    <col min="13834" max="13834" width="9.140625" style="577"/>
    <col min="13835" max="13835" width="10.140625" style="577" customWidth="1"/>
    <col min="13836" max="13836" width="11" style="577" customWidth="1"/>
    <col min="13837" max="14080" width="9.140625" style="577"/>
    <col min="14081" max="14081" width="8.5703125" style="577" customWidth="1"/>
    <col min="14082" max="14082" width="17.85546875" style="577" customWidth="1"/>
    <col min="14083" max="14083" width="11.140625" style="577" customWidth="1"/>
    <col min="14084" max="14085" width="9.140625" style="577"/>
    <col min="14086" max="14086" width="7.85546875" style="577" customWidth="1"/>
    <col min="14087" max="14087" width="8.42578125" style="577" customWidth="1"/>
    <col min="14088" max="14088" width="9.28515625" style="577" customWidth="1"/>
    <col min="14089" max="14089" width="10.28515625" style="577" customWidth="1"/>
    <col min="14090" max="14090" width="9.140625" style="577"/>
    <col min="14091" max="14091" width="10.140625" style="577" customWidth="1"/>
    <col min="14092" max="14092" width="11" style="577" customWidth="1"/>
    <col min="14093" max="14336" width="9.140625" style="577"/>
    <col min="14337" max="14337" width="8.5703125" style="577" customWidth="1"/>
    <col min="14338" max="14338" width="17.85546875" style="577" customWidth="1"/>
    <col min="14339" max="14339" width="11.140625" style="577" customWidth="1"/>
    <col min="14340" max="14341" width="9.140625" style="577"/>
    <col min="14342" max="14342" width="7.85546875" style="577" customWidth="1"/>
    <col min="14343" max="14343" width="8.42578125" style="577" customWidth="1"/>
    <col min="14344" max="14344" width="9.28515625" style="577" customWidth="1"/>
    <col min="14345" max="14345" width="10.28515625" style="577" customWidth="1"/>
    <col min="14346" max="14346" width="9.140625" style="577"/>
    <col min="14347" max="14347" width="10.140625" style="577" customWidth="1"/>
    <col min="14348" max="14348" width="11" style="577" customWidth="1"/>
    <col min="14349" max="14592" width="9.140625" style="577"/>
    <col min="14593" max="14593" width="8.5703125" style="577" customWidth="1"/>
    <col min="14594" max="14594" width="17.85546875" style="577" customWidth="1"/>
    <col min="14595" max="14595" width="11.140625" style="577" customWidth="1"/>
    <col min="14596" max="14597" width="9.140625" style="577"/>
    <col min="14598" max="14598" width="7.85546875" style="577" customWidth="1"/>
    <col min="14599" max="14599" width="8.42578125" style="577" customWidth="1"/>
    <col min="14600" max="14600" width="9.28515625" style="577" customWidth="1"/>
    <col min="14601" max="14601" width="10.28515625" style="577" customWidth="1"/>
    <col min="14602" max="14602" width="9.140625" style="577"/>
    <col min="14603" max="14603" width="10.140625" style="577" customWidth="1"/>
    <col min="14604" max="14604" width="11" style="577" customWidth="1"/>
    <col min="14605" max="14848" width="9.140625" style="577"/>
    <col min="14849" max="14849" width="8.5703125" style="577" customWidth="1"/>
    <col min="14850" max="14850" width="17.85546875" style="577" customWidth="1"/>
    <col min="14851" max="14851" width="11.140625" style="577" customWidth="1"/>
    <col min="14852" max="14853" width="9.140625" style="577"/>
    <col min="14854" max="14854" width="7.85546875" style="577" customWidth="1"/>
    <col min="14855" max="14855" width="8.42578125" style="577" customWidth="1"/>
    <col min="14856" max="14856" width="9.28515625" style="577" customWidth="1"/>
    <col min="14857" max="14857" width="10.28515625" style="577" customWidth="1"/>
    <col min="14858" max="14858" width="9.140625" style="577"/>
    <col min="14859" max="14859" width="10.140625" style="577" customWidth="1"/>
    <col min="14860" max="14860" width="11" style="577" customWidth="1"/>
    <col min="14861" max="15104" width="9.140625" style="577"/>
    <col min="15105" max="15105" width="8.5703125" style="577" customWidth="1"/>
    <col min="15106" max="15106" width="17.85546875" style="577" customWidth="1"/>
    <col min="15107" max="15107" width="11.140625" style="577" customWidth="1"/>
    <col min="15108" max="15109" width="9.140625" style="577"/>
    <col min="15110" max="15110" width="7.85546875" style="577" customWidth="1"/>
    <col min="15111" max="15111" width="8.42578125" style="577" customWidth="1"/>
    <col min="15112" max="15112" width="9.28515625" style="577" customWidth="1"/>
    <col min="15113" max="15113" width="10.28515625" style="577" customWidth="1"/>
    <col min="15114" max="15114" width="9.140625" style="577"/>
    <col min="15115" max="15115" width="10.140625" style="577" customWidth="1"/>
    <col min="15116" max="15116" width="11" style="577" customWidth="1"/>
    <col min="15117" max="15360" width="9.140625" style="577"/>
    <col min="15361" max="15361" width="8.5703125" style="577" customWidth="1"/>
    <col min="15362" max="15362" width="17.85546875" style="577" customWidth="1"/>
    <col min="15363" max="15363" width="11.140625" style="577" customWidth="1"/>
    <col min="15364" max="15365" width="9.140625" style="577"/>
    <col min="15366" max="15366" width="7.85546875" style="577" customWidth="1"/>
    <col min="15367" max="15367" width="8.42578125" style="577" customWidth="1"/>
    <col min="15368" max="15368" width="9.28515625" style="577" customWidth="1"/>
    <col min="15369" max="15369" width="10.28515625" style="577" customWidth="1"/>
    <col min="15370" max="15370" width="9.140625" style="577"/>
    <col min="15371" max="15371" width="10.140625" style="577" customWidth="1"/>
    <col min="15372" max="15372" width="11" style="577" customWidth="1"/>
    <col min="15373" max="15616" width="9.140625" style="577"/>
    <col min="15617" max="15617" width="8.5703125" style="577" customWidth="1"/>
    <col min="15618" max="15618" width="17.85546875" style="577" customWidth="1"/>
    <col min="15619" max="15619" width="11.140625" style="577" customWidth="1"/>
    <col min="15620" max="15621" width="9.140625" style="577"/>
    <col min="15622" max="15622" width="7.85546875" style="577" customWidth="1"/>
    <col min="15623" max="15623" width="8.42578125" style="577" customWidth="1"/>
    <col min="15624" max="15624" width="9.28515625" style="577" customWidth="1"/>
    <col min="15625" max="15625" width="10.28515625" style="577" customWidth="1"/>
    <col min="15626" max="15626" width="9.140625" style="577"/>
    <col min="15627" max="15627" width="10.140625" style="577" customWidth="1"/>
    <col min="15628" max="15628" width="11" style="577" customWidth="1"/>
    <col min="15629" max="15872" width="9.140625" style="577"/>
    <col min="15873" max="15873" width="8.5703125" style="577" customWidth="1"/>
    <col min="15874" max="15874" width="17.85546875" style="577" customWidth="1"/>
    <col min="15875" max="15875" width="11.140625" style="577" customWidth="1"/>
    <col min="15876" max="15877" width="9.140625" style="577"/>
    <col min="15878" max="15878" width="7.85546875" style="577" customWidth="1"/>
    <col min="15879" max="15879" width="8.42578125" style="577" customWidth="1"/>
    <col min="15880" max="15880" width="9.28515625" style="577" customWidth="1"/>
    <col min="15881" max="15881" width="10.28515625" style="577" customWidth="1"/>
    <col min="15882" max="15882" width="9.140625" style="577"/>
    <col min="15883" max="15883" width="10.140625" style="577" customWidth="1"/>
    <col min="15884" max="15884" width="11" style="577" customWidth="1"/>
    <col min="15885" max="16128" width="9.140625" style="577"/>
    <col min="16129" max="16129" width="8.5703125" style="577" customWidth="1"/>
    <col min="16130" max="16130" width="17.85546875" style="577" customWidth="1"/>
    <col min="16131" max="16131" width="11.140625" style="577" customWidth="1"/>
    <col min="16132" max="16133" width="9.140625" style="577"/>
    <col min="16134" max="16134" width="7.85546875" style="577" customWidth="1"/>
    <col min="16135" max="16135" width="8.42578125" style="577" customWidth="1"/>
    <col min="16136" max="16136" width="9.28515625" style="577" customWidth="1"/>
    <col min="16137" max="16137" width="10.28515625" style="577" customWidth="1"/>
    <col min="16138" max="16138" width="9.140625" style="577"/>
    <col min="16139" max="16139" width="10.140625" style="577" customWidth="1"/>
    <col min="16140" max="16140" width="11" style="577" customWidth="1"/>
    <col min="16141" max="16384" width="9.140625" style="577"/>
  </cols>
  <sheetData>
    <row r="1" spans="1:12" x14ac:dyDescent="0.2">
      <c r="G1" s="1067"/>
      <c r="H1" s="1067"/>
      <c r="K1" s="1072" t="s">
        <v>541</v>
      </c>
      <c r="L1" s="1072"/>
    </row>
    <row r="2" spans="1:12" x14ac:dyDescent="0.2">
      <c r="C2" s="1067" t="s">
        <v>628</v>
      </c>
      <c r="D2" s="1067"/>
      <c r="E2" s="1067"/>
      <c r="F2" s="1067"/>
      <c r="G2" s="1067"/>
      <c r="H2" s="1067"/>
      <c r="I2" s="1067"/>
      <c r="K2" s="573"/>
    </row>
    <row r="3" spans="1:12" s="576" customFormat="1" ht="15.75" x14ac:dyDescent="0.25">
      <c r="A3" s="1068" t="s">
        <v>742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</row>
    <row r="4" spans="1:12" s="576" customFormat="1" ht="20.25" customHeight="1" x14ac:dyDescent="0.25">
      <c r="A4" s="1068" t="s">
        <v>815</v>
      </c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1068"/>
    </row>
    <row r="6" spans="1:12" ht="15" x14ac:dyDescent="0.3">
      <c r="A6" s="197" t="s">
        <v>917</v>
      </c>
      <c r="B6" s="197" t="s">
        <v>916</v>
      </c>
    </row>
    <row r="9" spans="1:12" x14ac:dyDescent="0.2">
      <c r="A9" s="1071" t="s">
        <v>702</v>
      </c>
      <c r="B9" s="1071"/>
      <c r="C9" s="1071"/>
      <c r="D9" s="1071"/>
      <c r="E9" s="1071"/>
      <c r="F9" s="582"/>
    </row>
    <row r="10" spans="1:12" x14ac:dyDescent="0.2">
      <c r="A10" s="1071" t="s">
        <v>703</v>
      </c>
      <c r="B10" s="1071"/>
      <c r="C10" s="1071"/>
      <c r="D10" s="1071"/>
      <c r="E10" s="1071"/>
      <c r="F10" s="582"/>
    </row>
    <row r="12" spans="1:12" ht="15" customHeight="1" x14ac:dyDescent="0.2">
      <c r="I12" s="1044" t="s">
        <v>1186</v>
      </c>
      <c r="J12" s="1044"/>
      <c r="K12" s="1044"/>
      <c r="L12" s="1044"/>
    </row>
    <row r="13" spans="1:12" ht="20.25" customHeight="1" x14ac:dyDescent="0.2">
      <c r="A13" s="1022" t="s">
        <v>72</v>
      </c>
      <c r="B13" s="1022" t="s">
        <v>3</v>
      </c>
      <c r="C13" s="1074" t="s">
        <v>266</v>
      </c>
      <c r="D13" s="1076" t="s">
        <v>653</v>
      </c>
      <c r="E13" s="1076"/>
      <c r="F13" s="1076"/>
      <c r="G13" s="1076"/>
      <c r="H13" s="1076"/>
      <c r="I13" s="1076"/>
      <c r="J13" s="1076"/>
      <c r="K13" s="1076"/>
      <c r="L13" s="1076"/>
    </row>
    <row r="14" spans="1:12" ht="35.25" customHeight="1" x14ac:dyDescent="0.2">
      <c r="A14" s="1073"/>
      <c r="B14" s="1073"/>
      <c r="C14" s="1075"/>
      <c r="D14" s="578" t="s">
        <v>821</v>
      </c>
      <c r="E14" s="578" t="s">
        <v>269</v>
      </c>
      <c r="F14" s="578" t="s">
        <v>270</v>
      </c>
      <c r="G14" s="578" t="s">
        <v>271</v>
      </c>
      <c r="H14" s="578" t="s">
        <v>272</v>
      </c>
      <c r="I14" s="578" t="s">
        <v>273</v>
      </c>
      <c r="J14" s="578" t="s">
        <v>274</v>
      </c>
      <c r="K14" s="578" t="s">
        <v>275</v>
      </c>
      <c r="L14" s="578" t="s">
        <v>822</v>
      </c>
    </row>
    <row r="15" spans="1:12" ht="12.75" customHeight="1" x14ac:dyDescent="0.2">
      <c r="A15" s="580">
        <v>1</v>
      </c>
      <c r="B15" s="580">
        <v>2</v>
      </c>
      <c r="C15" s="580">
        <v>3</v>
      </c>
      <c r="D15" s="580">
        <v>4</v>
      </c>
      <c r="E15" s="580">
        <v>5</v>
      </c>
      <c r="F15" s="580">
        <v>6</v>
      </c>
      <c r="G15" s="580">
        <v>7</v>
      </c>
      <c r="H15" s="580">
        <v>8</v>
      </c>
      <c r="I15" s="580">
        <v>9</v>
      </c>
      <c r="J15" s="580">
        <v>10</v>
      </c>
      <c r="K15" s="580">
        <v>11</v>
      </c>
      <c r="L15" s="580">
        <v>12</v>
      </c>
    </row>
    <row r="16" spans="1:12" ht="12.75" customHeight="1" x14ac:dyDescent="0.2">
      <c r="A16" s="584">
        <v>1</v>
      </c>
      <c r="B16" s="584" t="s">
        <v>890</v>
      </c>
      <c r="C16" s="585">
        <v>1239</v>
      </c>
      <c r="D16" s="586">
        <v>327</v>
      </c>
      <c r="E16" s="586">
        <v>0</v>
      </c>
      <c r="F16" s="587">
        <v>138</v>
      </c>
      <c r="G16" s="587">
        <v>231</v>
      </c>
      <c r="H16" s="587">
        <v>495</v>
      </c>
      <c r="I16" s="587">
        <v>489</v>
      </c>
      <c r="J16" s="587">
        <v>388</v>
      </c>
      <c r="K16" s="587">
        <v>367</v>
      </c>
      <c r="L16" s="588">
        <v>494</v>
      </c>
    </row>
    <row r="17" spans="1:15" ht="12.75" customHeight="1" x14ac:dyDescent="0.2">
      <c r="A17" s="584">
        <v>2</v>
      </c>
      <c r="B17" s="584" t="s">
        <v>891</v>
      </c>
      <c r="C17" s="585">
        <v>1830</v>
      </c>
      <c r="D17" s="586">
        <v>515</v>
      </c>
      <c r="E17" s="586">
        <v>0</v>
      </c>
      <c r="F17" s="587">
        <v>312</v>
      </c>
      <c r="G17" s="587">
        <v>614</v>
      </c>
      <c r="H17" s="587">
        <v>549</v>
      </c>
      <c r="I17" s="587">
        <v>516</v>
      </c>
      <c r="J17" s="587">
        <v>413</v>
      </c>
      <c r="K17" s="587">
        <v>383</v>
      </c>
      <c r="L17" s="588">
        <v>488</v>
      </c>
    </row>
    <row r="18" spans="1:15" ht="12.75" customHeight="1" x14ac:dyDescent="0.2">
      <c r="A18" s="584">
        <v>3</v>
      </c>
      <c r="B18" s="584" t="s">
        <v>892</v>
      </c>
      <c r="C18" s="585">
        <v>1964</v>
      </c>
      <c r="D18" s="586">
        <v>338</v>
      </c>
      <c r="E18" s="586">
        <v>0</v>
      </c>
      <c r="F18" s="587">
        <v>56</v>
      </c>
      <c r="G18" s="587">
        <v>439</v>
      </c>
      <c r="H18" s="587">
        <v>391</v>
      </c>
      <c r="I18" s="587">
        <v>1236</v>
      </c>
      <c r="J18" s="587">
        <v>924</v>
      </c>
      <c r="K18" s="587">
        <v>704</v>
      </c>
      <c r="L18" s="588">
        <v>1068</v>
      </c>
    </row>
    <row r="19" spans="1:15" ht="12.75" customHeight="1" x14ac:dyDescent="0.2">
      <c r="A19" s="584">
        <v>4</v>
      </c>
      <c r="B19" s="584" t="s">
        <v>893</v>
      </c>
      <c r="C19" s="585">
        <v>2194</v>
      </c>
      <c r="D19" s="586">
        <v>248</v>
      </c>
      <c r="E19" s="586">
        <v>0</v>
      </c>
      <c r="F19" s="587">
        <v>22</v>
      </c>
      <c r="G19" s="587">
        <v>91</v>
      </c>
      <c r="H19" s="587">
        <v>352</v>
      </c>
      <c r="I19" s="587">
        <v>231</v>
      </c>
      <c r="J19" s="587">
        <v>222</v>
      </c>
      <c r="K19" s="587">
        <v>131</v>
      </c>
      <c r="L19" s="588">
        <v>687</v>
      </c>
    </row>
    <row r="20" spans="1:15" ht="12.75" customHeight="1" x14ac:dyDescent="0.2">
      <c r="A20" s="584">
        <v>5</v>
      </c>
      <c r="B20" s="584" t="s">
        <v>894</v>
      </c>
      <c r="C20" s="585">
        <v>1131</v>
      </c>
      <c r="D20" s="586">
        <v>197</v>
      </c>
      <c r="E20" s="586">
        <v>0</v>
      </c>
      <c r="F20" s="587">
        <v>56</v>
      </c>
      <c r="G20" s="587">
        <v>161</v>
      </c>
      <c r="H20" s="587">
        <v>413</v>
      </c>
      <c r="I20" s="587">
        <v>380</v>
      </c>
      <c r="J20" s="587">
        <v>327</v>
      </c>
      <c r="K20" s="587">
        <v>280</v>
      </c>
      <c r="L20" s="588">
        <v>31</v>
      </c>
    </row>
    <row r="21" spans="1:15" ht="12.75" customHeight="1" x14ac:dyDescent="0.2">
      <c r="A21" s="584">
        <v>6</v>
      </c>
      <c r="B21" s="584" t="s">
        <v>895</v>
      </c>
      <c r="C21" s="585">
        <v>897</v>
      </c>
      <c r="D21" s="586">
        <v>29</v>
      </c>
      <c r="E21" s="586">
        <v>0</v>
      </c>
      <c r="F21" s="587">
        <v>7</v>
      </c>
      <c r="G21" s="587">
        <v>19</v>
      </c>
      <c r="H21" s="587">
        <v>13</v>
      </c>
      <c r="I21" s="587">
        <v>10</v>
      </c>
      <c r="J21" s="587">
        <v>8</v>
      </c>
      <c r="K21" s="587">
        <v>5</v>
      </c>
      <c r="L21" s="588">
        <v>17</v>
      </c>
    </row>
    <row r="22" spans="1:15" ht="12.75" customHeight="1" x14ac:dyDescent="0.2">
      <c r="A22" s="584">
        <v>7</v>
      </c>
      <c r="B22" s="584" t="s">
        <v>896</v>
      </c>
      <c r="C22" s="585">
        <v>2496</v>
      </c>
      <c r="D22" s="586">
        <v>295</v>
      </c>
      <c r="E22" s="586">
        <v>0</v>
      </c>
      <c r="F22" s="587">
        <v>305</v>
      </c>
      <c r="G22" s="587">
        <v>532</v>
      </c>
      <c r="H22" s="587">
        <v>834</v>
      </c>
      <c r="I22" s="587">
        <v>897</v>
      </c>
      <c r="J22" s="587">
        <v>903</v>
      </c>
      <c r="K22" s="587">
        <v>792</v>
      </c>
      <c r="L22" s="588">
        <v>431</v>
      </c>
    </row>
    <row r="23" spans="1:15" ht="12.75" customHeight="1" x14ac:dyDescent="0.2">
      <c r="A23" s="584">
        <v>8</v>
      </c>
      <c r="B23" s="584" t="s">
        <v>897</v>
      </c>
      <c r="C23" s="585">
        <v>884</v>
      </c>
      <c r="D23" s="586">
        <v>80</v>
      </c>
      <c r="E23" s="586">
        <v>0</v>
      </c>
      <c r="F23" s="587">
        <v>5</v>
      </c>
      <c r="G23" s="587">
        <v>54</v>
      </c>
      <c r="H23" s="587">
        <v>61</v>
      </c>
      <c r="I23" s="587">
        <v>34</v>
      </c>
      <c r="J23" s="587">
        <v>33</v>
      </c>
      <c r="K23" s="587">
        <v>28</v>
      </c>
      <c r="L23" s="588">
        <v>428</v>
      </c>
    </row>
    <row r="24" spans="1:15" ht="12.75" customHeight="1" x14ac:dyDescent="0.2">
      <c r="A24" s="584">
        <v>9</v>
      </c>
      <c r="B24" s="584" t="s">
        <v>898</v>
      </c>
      <c r="C24" s="585">
        <v>1336</v>
      </c>
      <c r="D24" s="586">
        <v>822</v>
      </c>
      <c r="E24" s="586">
        <v>1</v>
      </c>
      <c r="F24" s="587">
        <v>940</v>
      </c>
      <c r="G24" s="587">
        <v>1253</v>
      </c>
      <c r="H24" s="587">
        <v>1121</v>
      </c>
      <c r="I24" s="587">
        <v>1121</v>
      </c>
      <c r="J24" s="587">
        <v>1010</v>
      </c>
      <c r="K24" s="587">
        <v>988</v>
      </c>
      <c r="L24" s="588">
        <v>733</v>
      </c>
    </row>
    <row r="25" spans="1:15" ht="12.75" customHeight="1" x14ac:dyDescent="0.2">
      <c r="A25" s="584">
        <v>10</v>
      </c>
      <c r="B25" s="584" t="s">
        <v>899</v>
      </c>
      <c r="C25" s="585">
        <v>973</v>
      </c>
      <c r="D25" s="586">
        <v>196</v>
      </c>
      <c r="E25" s="586">
        <v>1</v>
      </c>
      <c r="F25" s="587">
        <v>223</v>
      </c>
      <c r="G25" s="587">
        <v>482</v>
      </c>
      <c r="H25" s="587">
        <v>394</v>
      </c>
      <c r="I25" s="587">
        <v>494</v>
      </c>
      <c r="J25" s="587">
        <v>376</v>
      </c>
      <c r="K25" s="587">
        <v>349</v>
      </c>
      <c r="L25" s="588">
        <v>342</v>
      </c>
    </row>
    <row r="26" spans="1:15" ht="12.75" customHeight="1" x14ac:dyDescent="0.2">
      <c r="A26" s="584">
        <v>11</v>
      </c>
      <c r="B26" s="584" t="s">
        <v>900</v>
      </c>
      <c r="C26" s="585">
        <v>1432</v>
      </c>
      <c r="D26" s="586">
        <v>517</v>
      </c>
      <c r="E26" s="586">
        <v>0</v>
      </c>
      <c r="F26" s="587">
        <v>279</v>
      </c>
      <c r="G26" s="587">
        <v>310</v>
      </c>
      <c r="H26" s="587">
        <v>411</v>
      </c>
      <c r="I26" s="587">
        <v>326</v>
      </c>
      <c r="J26" s="587">
        <v>251</v>
      </c>
      <c r="K26" s="587">
        <v>229</v>
      </c>
      <c r="L26" s="588">
        <v>506</v>
      </c>
    </row>
    <row r="27" spans="1:15" x14ac:dyDescent="0.2">
      <c r="A27" s="589">
        <v>12</v>
      </c>
      <c r="B27" s="589" t="s">
        <v>901</v>
      </c>
      <c r="C27" s="590">
        <v>2344</v>
      </c>
      <c r="D27" s="586">
        <v>635</v>
      </c>
      <c r="E27" s="586">
        <v>0</v>
      </c>
      <c r="F27" s="587">
        <v>330</v>
      </c>
      <c r="G27" s="587">
        <v>725</v>
      </c>
      <c r="H27" s="587">
        <v>716</v>
      </c>
      <c r="I27" s="587">
        <v>627</v>
      </c>
      <c r="J27" s="587">
        <v>531</v>
      </c>
      <c r="K27" s="587">
        <v>548</v>
      </c>
      <c r="L27" s="588">
        <v>916</v>
      </c>
    </row>
    <row r="28" spans="1:15" x14ac:dyDescent="0.2">
      <c r="A28" s="589">
        <v>13</v>
      </c>
      <c r="B28" s="589" t="s">
        <v>902</v>
      </c>
      <c r="C28" s="590">
        <v>2268</v>
      </c>
      <c r="D28" s="586">
        <v>502</v>
      </c>
      <c r="E28" s="586">
        <v>1</v>
      </c>
      <c r="F28" s="587">
        <v>31</v>
      </c>
      <c r="G28" s="587">
        <v>358</v>
      </c>
      <c r="H28" s="587">
        <v>1158</v>
      </c>
      <c r="I28" s="587">
        <v>1201</v>
      </c>
      <c r="J28" s="587">
        <v>952</v>
      </c>
      <c r="K28" s="587">
        <v>912</v>
      </c>
      <c r="L28" s="588">
        <v>791</v>
      </c>
      <c r="O28" s="577" t="s">
        <v>11</v>
      </c>
    </row>
    <row r="29" spans="1:15" x14ac:dyDescent="0.2">
      <c r="A29" s="589">
        <v>14</v>
      </c>
      <c r="B29" s="589" t="s">
        <v>903</v>
      </c>
      <c r="C29" s="590">
        <v>2212</v>
      </c>
      <c r="D29" s="586">
        <v>528</v>
      </c>
      <c r="E29" s="586">
        <v>0</v>
      </c>
      <c r="F29" s="587">
        <v>153</v>
      </c>
      <c r="G29" s="587">
        <v>337</v>
      </c>
      <c r="H29" s="587">
        <v>308</v>
      </c>
      <c r="I29" s="587">
        <v>245</v>
      </c>
      <c r="J29" s="587">
        <v>210</v>
      </c>
      <c r="K29" s="587">
        <v>187</v>
      </c>
      <c r="L29" s="588">
        <v>570</v>
      </c>
    </row>
    <row r="30" spans="1:15" s="591" customFormat="1" ht="12.75" customHeight="1" x14ac:dyDescent="0.2">
      <c r="A30" s="589">
        <v>15</v>
      </c>
      <c r="B30" s="589" t="s">
        <v>904</v>
      </c>
      <c r="C30" s="590">
        <v>1482</v>
      </c>
      <c r="D30" s="586">
        <v>299</v>
      </c>
      <c r="E30" s="586">
        <v>0</v>
      </c>
      <c r="F30" s="587">
        <v>412</v>
      </c>
      <c r="G30" s="587">
        <v>700</v>
      </c>
      <c r="H30" s="587">
        <v>616</v>
      </c>
      <c r="I30" s="587">
        <v>1112</v>
      </c>
      <c r="J30" s="587">
        <v>915</v>
      </c>
      <c r="K30" s="587">
        <v>806</v>
      </c>
      <c r="L30" s="588">
        <v>800</v>
      </c>
    </row>
    <row r="31" spans="1:15" s="591" customFormat="1" ht="12.75" customHeight="1" x14ac:dyDescent="0.2">
      <c r="A31" s="589">
        <v>16</v>
      </c>
      <c r="B31" s="592" t="s">
        <v>905</v>
      </c>
      <c r="C31" s="593">
        <v>1833</v>
      </c>
      <c r="D31" s="586">
        <v>146</v>
      </c>
      <c r="E31" s="586">
        <v>0</v>
      </c>
      <c r="F31" s="587">
        <v>13</v>
      </c>
      <c r="G31" s="587">
        <v>107</v>
      </c>
      <c r="H31" s="587">
        <v>96</v>
      </c>
      <c r="I31" s="587">
        <v>80</v>
      </c>
      <c r="J31" s="587">
        <v>60</v>
      </c>
      <c r="K31" s="587">
        <v>41</v>
      </c>
      <c r="L31" s="588">
        <v>558</v>
      </c>
    </row>
    <row r="32" spans="1:15" s="591" customFormat="1" ht="13.15" customHeight="1" x14ac:dyDescent="0.2">
      <c r="A32" s="589">
        <v>17</v>
      </c>
      <c r="B32" s="592" t="s">
        <v>906</v>
      </c>
      <c r="C32" s="593">
        <v>2019</v>
      </c>
      <c r="D32" s="586">
        <v>175</v>
      </c>
      <c r="E32" s="586">
        <v>0</v>
      </c>
      <c r="F32" s="587">
        <v>77</v>
      </c>
      <c r="G32" s="587">
        <v>412</v>
      </c>
      <c r="H32" s="587">
        <v>380</v>
      </c>
      <c r="I32" s="587">
        <v>309</v>
      </c>
      <c r="J32" s="587">
        <v>243</v>
      </c>
      <c r="K32" s="587">
        <v>162</v>
      </c>
      <c r="L32" s="588">
        <v>1536</v>
      </c>
    </row>
    <row r="33" spans="1:12" ht="12.75" customHeight="1" x14ac:dyDescent="0.2">
      <c r="A33" s="589">
        <v>18</v>
      </c>
      <c r="B33" s="589" t="s">
        <v>907</v>
      </c>
      <c r="C33" s="590">
        <v>1386</v>
      </c>
      <c r="D33" s="586">
        <v>390</v>
      </c>
      <c r="E33" s="586">
        <v>0</v>
      </c>
      <c r="F33" s="587">
        <v>105</v>
      </c>
      <c r="G33" s="587">
        <v>462</v>
      </c>
      <c r="H33" s="587">
        <v>389</v>
      </c>
      <c r="I33" s="587">
        <v>314</v>
      </c>
      <c r="J33" s="587">
        <v>230</v>
      </c>
      <c r="K33" s="587">
        <v>192</v>
      </c>
      <c r="L33" s="588">
        <v>564</v>
      </c>
    </row>
    <row r="34" spans="1:12" x14ac:dyDescent="0.2">
      <c r="A34" s="589">
        <v>19</v>
      </c>
      <c r="B34" s="589" t="s">
        <v>908</v>
      </c>
      <c r="C34" s="590">
        <v>1809</v>
      </c>
      <c r="D34" s="586">
        <v>474</v>
      </c>
      <c r="E34" s="586">
        <v>0</v>
      </c>
      <c r="F34" s="587">
        <v>71</v>
      </c>
      <c r="G34" s="587">
        <v>200</v>
      </c>
      <c r="H34" s="587">
        <v>474</v>
      </c>
      <c r="I34" s="587">
        <v>451</v>
      </c>
      <c r="J34" s="587">
        <v>353</v>
      </c>
      <c r="K34" s="587">
        <v>313</v>
      </c>
      <c r="L34" s="588">
        <v>665</v>
      </c>
    </row>
    <row r="35" spans="1:12" x14ac:dyDescent="0.2">
      <c r="A35" s="589">
        <v>20</v>
      </c>
      <c r="B35" s="589" t="s">
        <v>909</v>
      </c>
      <c r="C35" s="590">
        <v>941</v>
      </c>
      <c r="D35" s="586">
        <v>145</v>
      </c>
      <c r="E35" s="586">
        <v>0</v>
      </c>
      <c r="F35" s="587">
        <v>79</v>
      </c>
      <c r="G35" s="587">
        <v>186</v>
      </c>
      <c r="H35" s="587">
        <v>159</v>
      </c>
      <c r="I35" s="587">
        <v>153</v>
      </c>
      <c r="J35" s="587">
        <v>117</v>
      </c>
      <c r="K35" s="587">
        <v>100</v>
      </c>
      <c r="L35" s="588">
        <v>548</v>
      </c>
    </row>
    <row r="36" spans="1:12" x14ac:dyDescent="0.2">
      <c r="A36" s="589">
        <v>21</v>
      </c>
      <c r="B36" s="589" t="s">
        <v>910</v>
      </c>
      <c r="C36" s="590">
        <v>568</v>
      </c>
      <c r="D36" s="586">
        <v>45</v>
      </c>
      <c r="E36" s="586">
        <v>0</v>
      </c>
      <c r="F36" s="587">
        <v>5</v>
      </c>
      <c r="G36" s="587">
        <v>16</v>
      </c>
      <c r="H36" s="587">
        <v>11</v>
      </c>
      <c r="I36" s="587">
        <v>4</v>
      </c>
      <c r="J36" s="587">
        <v>2</v>
      </c>
      <c r="K36" s="587">
        <v>3</v>
      </c>
      <c r="L36" s="588">
        <v>81</v>
      </c>
    </row>
    <row r="37" spans="1:12" x14ac:dyDescent="0.2">
      <c r="A37" s="589">
        <v>22</v>
      </c>
      <c r="B37" s="589" t="s">
        <v>911</v>
      </c>
      <c r="C37" s="590">
        <v>2905</v>
      </c>
      <c r="D37" s="586">
        <v>609</v>
      </c>
      <c r="E37" s="586">
        <v>0</v>
      </c>
      <c r="F37" s="587">
        <v>220</v>
      </c>
      <c r="G37" s="587">
        <v>507</v>
      </c>
      <c r="H37" s="587">
        <v>966</v>
      </c>
      <c r="I37" s="587">
        <v>896</v>
      </c>
      <c r="J37" s="587">
        <v>710</v>
      </c>
      <c r="K37" s="587">
        <v>651</v>
      </c>
      <c r="L37" s="588">
        <v>1206</v>
      </c>
    </row>
    <row r="38" spans="1:12" x14ac:dyDescent="0.2">
      <c r="A38" s="589">
        <v>23</v>
      </c>
      <c r="B38" s="589" t="s">
        <v>912</v>
      </c>
      <c r="C38" s="590">
        <v>1279</v>
      </c>
      <c r="D38" s="586">
        <v>297</v>
      </c>
      <c r="E38" s="586">
        <v>1</v>
      </c>
      <c r="F38" s="587">
        <v>192</v>
      </c>
      <c r="G38" s="587">
        <v>276</v>
      </c>
      <c r="H38" s="587">
        <v>296</v>
      </c>
      <c r="I38" s="587">
        <v>403</v>
      </c>
      <c r="J38" s="587">
        <v>368</v>
      </c>
      <c r="K38" s="587">
        <v>362</v>
      </c>
      <c r="L38" s="588">
        <v>430</v>
      </c>
    </row>
    <row r="39" spans="1:12" x14ac:dyDescent="0.2">
      <c r="A39" s="589">
        <v>24</v>
      </c>
      <c r="B39" s="589" t="s">
        <v>913</v>
      </c>
      <c r="C39" s="590">
        <v>2655</v>
      </c>
      <c r="D39" s="586">
        <v>815</v>
      </c>
      <c r="E39" s="586">
        <v>0</v>
      </c>
      <c r="F39" s="587">
        <v>514</v>
      </c>
      <c r="G39" s="587">
        <v>1029</v>
      </c>
      <c r="H39" s="587">
        <v>954</v>
      </c>
      <c r="I39" s="587">
        <v>931</v>
      </c>
      <c r="J39" s="587">
        <v>742</v>
      </c>
      <c r="K39" s="587">
        <v>688</v>
      </c>
      <c r="L39" s="588">
        <v>1415</v>
      </c>
    </row>
    <row r="40" spans="1:12" x14ac:dyDescent="0.2">
      <c r="A40" s="589">
        <v>25</v>
      </c>
      <c r="B40" s="589" t="s">
        <v>919</v>
      </c>
      <c r="C40" s="590">
        <v>1929</v>
      </c>
      <c r="D40" s="586">
        <v>826</v>
      </c>
      <c r="E40" s="586">
        <v>0</v>
      </c>
      <c r="F40" s="587">
        <v>524</v>
      </c>
      <c r="G40" s="587">
        <v>900</v>
      </c>
      <c r="H40" s="587">
        <v>759</v>
      </c>
      <c r="I40" s="587">
        <v>984</v>
      </c>
      <c r="J40" s="587">
        <v>852</v>
      </c>
      <c r="K40" s="587">
        <v>821</v>
      </c>
      <c r="L40" s="588">
        <v>271</v>
      </c>
    </row>
    <row r="41" spans="1:12" x14ac:dyDescent="0.2">
      <c r="A41" s="589">
        <v>26</v>
      </c>
      <c r="B41" s="589" t="s">
        <v>914</v>
      </c>
      <c r="C41" s="590">
        <v>1004</v>
      </c>
      <c r="D41" s="586">
        <v>41</v>
      </c>
      <c r="E41" s="586">
        <v>0</v>
      </c>
      <c r="F41" s="587">
        <v>4</v>
      </c>
      <c r="G41" s="587">
        <v>12</v>
      </c>
      <c r="H41" s="587">
        <v>6</v>
      </c>
      <c r="I41" s="587">
        <v>6</v>
      </c>
      <c r="J41" s="587">
        <v>2</v>
      </c>
      <c r="K41" s="587">
        <v>3</v>
      </c>
      <c r="L41" s="588">
        <v>49</v>
      </c>
    </row>
    <row r="42" spans="1:12" x14ac:dyDescent="0.2">
      <c r="A42" s="589">
        <v>27</v>
      </c>
      <c r="B42" s="589" t="s">
        <v>915</v>
      </c>
      <c r="C42" s="590">
        <v>1976</v>
      </c>
      <c r="D42" s="586">
        <v>1105</v>
      </c>
      <c r="E42" s="586">
        <v>0</v>
      </c>
      <c r="F42" s="587">
        <v>613</v>
      </c>
      <c r="G42" s="587">
        <v>1192</v>
      </c>
      <c r="H42" s="587">
        <v>1088</v>
      </c>
      <c r="I42" s="587">
        <v>1220</v>
      </c>
      <c r="J42" s="587">
        <v>1042</v>
      </c>
      <c r="K42" s="587">
        <v>915</v>
      </c>
      <c r="L42" s="588">
        <v>380</v>
      </c>
    </row>
    <row r="43" spans="1:12" x14ac:dyDescent="0.2">
      <c r="A43" s="582" t="s">
        <v>18</v>
      </c>
      <c r="B43" s="582"/>
      <c r="C43" s="590">
        <v>44986</v>
      </c>
      <c r="D43" s="594">
        <f t="shared" ref="D43:L43" si="0">SUM(D16:D42)</f>
        <v>10596</v>
      </c>
      <c r="E43" s="594">
        <f t="shared" si="0"/>
        <v>4</v>
      </c>
      <c r="F43" s="595">
        <f t="shared" si="0"/>
        <v>5686</v>
      </c>
      <c r="G43" s="596">
        <f t="shared" si="0"/>
        <v>11605</v>
      </c>
      <c r="H43" s="595">
        <f t="shared" si="0"/>
        <v>13410</v>
      </c>
      <c r="I43" s="595">
        <f t="shared" si="0"/>
        <v>14670</v>
      </c>
      <c r="J43" s="595">
        <f t="shared" si="0"/>
        <v>12184</v>
      </c>
      <c r="K43" s="595">
        <f t="shared" si="0"/>
        <v>10960</v>
      </c>
      <c r="L43" s="595">
        <f t="shared" si="0"/>
        <v>16005</v>
      </c>
    </row>
    <row r="46" spans="1:12" ht="12.75" customHeight="1" x14ac:dyDescent="0.2">
      <c r="G46" s="621"/>
      <c r="H46" s="621"/>
      <c r="I46" s="621"/>
      <c r="J46" s="621"/>
      <c r="K46" s="621"/>
      <c r="L46" s="621"/>
    </row>
    <row r="47" spans="1:12" ht="12.75" customHeight="1" x14ac:dyDescent="0.2">
      <c r="G47" s="621"/>
      <c r="H47" s="810" t="s">
        <v>13</v>
      </c>
      <c r="I47" s="810"/>
      <c r="J47" s="810"/>
      <c r="K47" s="810"/>
      <c r="L47" s="810"/>
    </row>
    <row r="48" spans="1:12" ht="12.75" customHeight="1" x14ac:dyDescent="0.2">
      <c r="G48" s="621"/>
      <c r="H48" s="810" t="s">
        <v>14</v>
      </c>
      <c r="I48" s="810"/>
      <c r="J48" s="810"/>
      <c r="K48" s="810"/>
      <c r="L48" s="810"/>
    </row>
    <row r="49" spans="1:12" x14ac:dyDescent="0.2">
      <c r="G49" s="640"/>
      <c r="H49" s="810" t="s">
        <v>918</v>
      </c>
      <c r="I49" s="810"/>
      <c r="J49" s="810"/>
      <c r="K49" s="810"/>
      <c r="L49" s="810"/>
    </row>
    <row r="50" spans="1:12" ht="15" x14ac:dyDescent="0.25">
      <c r="A50" s="492" t="s">
        <v>12</v>
      </c>
      <c r="H50" s="657"/>
      <c r="I50" s="207" t="s">
        <v>82</v>
      </c>
      <c r="J50" s="207"/>
      <c r="K50" s="207"/>
      <c r="L50" s="207"/>
    </row>
  </sheetData>
  <mergeCells count="15">
    <mergeCell ref="H47:L47"/>
    <mergeCell ref="H48:L48"/>
    <mergeCell ref="H49:L49"/>
    <mergeCell ref="A10:E10"/>
    <mergeCell ref="A13:A14"/>
    <mergeCell ref="B13:B14"/>
    <mergeCell ref="C13:C14"/>
    <mergeCell ref="D13:L13"/>
    <mergeCell ref="I12:L12"/>
    <mergeCell ref="A9:E9"/>
    <mergeCell ref="G1:H1"/>
    <mergeCell ref="K1:L1"/>
    <mergeCell ref="C2:I2"/>
    <mergeCell ref="A3:L3"/>
    <mergeCell ref="A4:L4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  <pageSetUpPr fitToPage="1"/>
  </sheetPr>
  <dimension ref="A1:O45"/>
  <sheetViews>
    <sheetView topLeftCell="A4" zoomScale="80" zoomScaleNormal="80" zoomScaleSheetLayoutView="80" workbookViewId="0">
      <selection activeCell="O9" sqref="O9"/>
    </sheetView>
  </sheetViews>
  <sheetFormatPr defaultRowHeight="12.75" x14ac:dyDescent="0.2"/>
  <cols>
    <col min="2" max="2" width="20.8554687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5" ht="18" x14ac:dyDescent="0.35">
      <c r="C1" s="922" t="s">
        <v>0</v>
      </c>
      <c r="D1" s="922"/>
      <c r="E1" s="922"/>
      <c r="F1" s="922"/>
      <c r="G1" s="922"/>
      <c r="H1" s="922"/>
      <c r="I1" s="922"/>
      <c r="J1" s="223"/>
      <c r="K1" s="223"/>
      <c r="L1" s="1065" t="s">
        <v>524</v>
      </c>
      <c r="M1" s="1065"/>
      <c r="N1" s="223"/>
      <c r="O1" s="223"/>
    </row>
    <row r="2" spans="1:15" ht="21" x14ac:dyDescent="0.35">
      <c r="B2" s="923" t="s">
        <v>738</v>
      </c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224"/>
      <c r="N2" s="224"/>
      <c r="O2" s="224"/>
    </row>
    <row r="3" spans="1:15" ht="21" x14ac:dyDescent="0.35">
      <c r="A3" s="197" t="s">
        <v>917</v>
      </c>
      <c r="B3" s="197" t="s">
        <v>916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224"/>
      <c r="O3" s="224"/>
    </row>
    <row r="4" spans="1:15" ht="20.25" customHeight="1" x14ac:dyDescent="0.2">
      <c r="A4" s="1078" t="s">
        <v>523</v>
      </c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</row>
    <row r="5" spans="1:15" ht="20.25" customHeight="1" x14ac:dyDescent="0.2">
      <c r="A5" s="1079" t="s">
        <v>160</v>
      </c>
      <c r="B5" s="1079"/>
      <c r="C5" s="1079"/>
      <c r="D5" s="1079"/>
      <c r="E5" s="1079"/>
      <c r="F5" s="1079"/>
      <c r="G5" s="1079"/>
      <c r="H5" s="925" t="s">
        <v>1186</v>
      </c>
      <c r="I5" s="925"/>
      <c r="J5" s="925"/>
      <c r="K5" s="925"/>
      <c r="L5" s="925"/>
      <c r="M5" s="925"/>
    </row>
    <row r="6" spans="1:15" ht="15" customHeight="1" x14ac:dyDescent="0.2">
      <c r="A6" s="982" t="s">
        <v>72</v>
      </c>
      <c r="B6" s="982" t="s">
        <v>287</v>
      </c>
      <c r="C6" s="1080" t="s">
        <v>417</v>
      </c>
      <c r="D6" s="1081"/>
      <c r="E6" s="1081"/>
      <c r="F6" s="1081"/>
      <c r="G6" s="1082"/>
      <c r="H6" s="979" t="s">
        <v>414</v>
      </c>
      <c r="I6" s="979"/>
      <c r="J6" s="979"/>
      <c r="K6" s="979"/>
      <c r="L6" s="979"/>
      <c r="M6" s="982" t="s">
        <v>288</v>
      </c>
    </row>
    <row r="7" spans="1:15" ht="12.75" customHeight="1" x14ac:dyDescent="0.2">
      <c r="A7" s="983"/>
      <c r="B7" s="983"/>
      <c r="C7" s="1083"/>
      <c r="D7" s="1084"/>
      <c r="E7" s="1084"/>
      <c r="F7" s="1084"/>
      <c r="G7" s="1085"/>
      <c r="H7" s="979"/>
      <c r="I7" s="979"/>
      <c r="J7" s="979"/>
      <c r="K7" s="979"/>
      <c r="L7" s="979"/>
      <c r="M7" s="983"/>
    </row>
    <row r="8" spans="1:15" ht="5.25" customHeight="1" x14ac:dyDescent="0.2">
      <c r="A8" s="983"/>
      <c r="B8" s="983"/>
      <c r="C8" s="1083"/>
      <c r="D8" s="1084"/>
      <c r="E8" s="1084"/>
      <c r="F8" s="1084"/>
      <c r="G8" s="1085"/>
      <c r="H8" s="979"/>
      <c r="I8" s="979"/>
      <c r="J8" s="979"/>
      <c r="K8" s="979"/>
      <c r="L8" s="979"/>
      <c r="M8" s="983"/>
    </row>
    <row r="9" spans="1:15" ht="68.25" customHeight="1" x14ac:dyDescent="0.2">
      <c r="A9" s="984"/>
      <c r="B9" s="984"/>
      <c r="C9" s="228" t="s">
        <v>289</v>
      </c>
      <c r="D9" s="228" t="s">
        <v>290</v>
      </c>
      <c r="E9" s="228" t="s">
        <v>291</v>
      </c>
      <c r="F9" s="228" t="s">
        <v>292</v>
      </c>
      <c r="G9" s="246" t="s">
        <v>293</v>
      </c>
      <c r="H9" s="245" t="s">
        <v>413</v>
      </c>
      <c r="I9" s="245" t="s">
        <v>418</v>
      </c>
      <c r="J9" s="245" t="s">
        <v>415</v>
      </c>
      <c r="K9" s="245" t="s">
        <v>416</v>
      </c>
      <c r="L9" s="245" t="s">
        <v>45</v>
      </c>
      <c r="M9" s="984"/>
    </row>
    <row r="10" spans="1:15" ht="15" x14ac:dyDescent="0.25">
      <c r="A10" s="229">
        <v>1</v>
      </c>
      <c r="B10" s="229">
        <v>2</v>
      </c>
      <c r="C10" s="229">
        <v>3</v>
      </c>
      <c r="D10" s="229">
        <v>4</v>
      </c>
      <c r="E10" s="229">
        <v>5</v>
      </c>
      <c r="F10" s="229">
        <v>6</v>
      </c>
      <c r="G10" s="229">
        <v>7</v>
      </c>
      <c r="H10" s="229">
        <v>8</v>
      </c>
      <c r="I10" s="229">
        <v>9</v>
      </c>
      <c r="J10" s="229">
        <v>10</v>
      </c>
      <c r="K10" s="229">
        <v>11</v>
      </c>
      <c r="L10" s="229">
        <v>12</v>
      </c>
      <c r="M10" s="229">
        <v>13</v>
      </c>
    </row>
    <row r="11" spans="1:15" s="488" customFormat="1" ht="15" x14ac:dyDescent="0.25">
      <c r="A11" s="534">
        <v>1</v>
      </c>
      <c r="B11" s="534" t="s">
        <v>890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5" s="488" customFormat="1" ht="15" x14ac:dyDescent="0.25">
      <c r="A12" s="534">
        <v>2</v>
      </c>
      <c r="B12" s="534" t="s">
        <v>891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488" customFormat="1" ht="15" x14ac:dyDescent="0.25">
      <c r="A13" s="534">
        <v>3</v>
      </c>
      <c r="B13" s="534" t="s">
        <v>892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488" customFormat="1" ht="15" x14ac:dyDescent="0.25">
      <c r="A14" s="534">
        <v>4</v>
      </c>
      <c r="B14" s="534" t="s">
        <v>893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5" s="488" customFormat="1" ht="15" x14ac:dyDescent="0.25">
      <c r="A15" s="534">
        <v>5</v>
      </c>
      <c r="B15" s="534" t="s">
        <v>894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</row>
    <row r="16" spans="1:15" s="488" customFormat="1" ht="15" x14ac:dyDescent="0.25">
      <c r="A16" s="534">
        <v>6</v>
      </c>
      <c r="B16" s="534" t="s">
        <v>895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</row>
    <row r="17" spans="1:13" s="488" customFormat="1" ht="15" x14ac:dyDescent="0.25">
      <c r="A17" s="534">
        <v>7</v>
      </c>
      <c r="B17" s="534" t="s">
        <v>896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13" s="488" customFormat="1" ht="15" x14ac:dyDescent="0.25">
      <c r="A18" s="534">
        <v>8</v>
      </c>
      <c r="B18" s="534" t="s">
        <v>897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s="488" customFormat="1" ht="15" x14ac:dyDescent="0.25">
      <c r="A19" s="534">
        <v>9</v>
      </c>
      <c r="B19" s="534" t="s">
        <v>898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13" s="488" customFormat="1" ht="15" x14ac:dyDescent="0.25">
      <c r="A20" s="534">
        <v>10</v>
      </c>
      <c r="B20" s="534" t="s">
        <v>899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s="488" customFormat="1" ht="15" x14ac:dyDescent="0.25">
      <c r="A21" s="534">
        <v>11</v>
      </c>
      <c r="B21" s="534" t="s">
        <v>900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</row>
    <row r="22" spans="1:13" ht="15" x14ac:dyDescent="0.25">
      <c r="A22" s="535">
        <v>12</v>
      </c>
      <c r="B22" s="535" t="s">
        <v>901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3" ht="15" x14ac:dyDescent="0.25">
      <c r="A23" s="535">
        <v>13</v>
      </c>
      <c r="B23" s="535" t="s">
        <v>902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</row>
    <row r="24" spans="1:13" ht="15" x14ac:dyDescent="0.25">
      <c r="A24" s="535">
        <v>14</v>
      </c>
      <c r="B24" s="535" t="s">
        <v>903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13" ht="15" x14ac:dyDescent="0.25">
      <c r="A25" s="535">
        <v>15</v>
      </c>
      <c r="B25" s="535" t="s">
        <v>904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13" ht="15" x14ac:dyDescent="0.25">
      <c r="A26" s="535">
        <v>16</v>
      </c>
      <c r="B26" s="536" t="s">
        <v>905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</row>
    <row r="27" spans="1:13" ht="15" x14ac:dyDescent="0.25">
      <c r="A27" s="535">
        <v>17</v>
      </c>
      <c r="B27" s="536" t="s">
        <v>906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ht="15" x14ac:dyDescent="0.25">
      <c r="A28" s="535">
        <v>18</v>
      </c>
      <c r="B28" s="535" t="s">
        <v>907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13" ht="15" x14ac:dyDescent="0.25">
      <c r="A29" s="535">
        <v>19</v>
      </c>
      <c r="B29" s="535" t="s">
        <v>908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1:13" x14ac:dyDescent="0.2">
      <c r="A30" s="535">
        <v>20</v>
      </c>
      <c r="B30" s="535" t="s">
        <v>909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  <row r="31" spans="1:13" x14ac:dyDescent="0.2">
      <c r="A31" s="535">
        <v>21</v>
      </c>
      <c r="B31" s="535" t="s">
        <v>910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13" x14ac:dyDescent="0.2">
      <c r="A32" s="535">
        <v>22</v>
      </c>
      <c r="B32" s="535" t="s">
        <v>911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  <row r="33" spans="1:13" x14ac:dyDescent="0.2">
      <c r="A33" s="535">
        <v>23</v>
      </c>
      <c r="B33" s="535" t="s">
        <v>912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</row>
    <row r="34" spans="1:13" x14ac:dyDescent="0.2">
      <c r="A34" s="535">
        <v>24</v>
      </c>
      <c r="B34" s="535" t="s">
        <v>913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">
      <c r="A35" s="535">
        <v>25</v>
      </c>
      <c r="B35" s="535" t="s">
        <v>919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">
      <c r="A36" s="535">
        <v>26</v>
      </c>
      <c r="B36" s="535" t="s">
        <v>914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">
      <c r="A37" s="535">
        <v>27</v>
      </c>
      <c r="B37" s="535" t="s">
        <v>915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">
      <c r="A38" s="30" t="s">
        <v>18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6.5" customHeight="1" x14ac:dyDescent="0.2">
      <c r="B39" s="233"/>
      <c r="C39" s="1077"/>
      <c r="D39" s="1077"/>
      <c r="E39" s="1077"/>
      <c r="F39" s="1077"/>
    </row>
    <row r="41" spans="1:13" s="207" customFormat="1" x14ac:dyDescent="0.2"/>
    <row r="42" spans="1:13" s="207" customFormat="1" ht="15" customHeight="1" x14ac:dyDescent="0.2">
      <c r="I42" s="810" t="s">
        <v>13</v>
      </c>
      <c r="J42" s="810"/>
      <c r="K42" s="810"/>
      <c r="L42" s="810"/>
      <c r="M42" s="810"/>
    </row>
    <row r="43" spans="1:13" s="207" customFormat="1" ht="15" customHeight="1" x14ac:dyDescent="0.2">
      <c r="I43" s="810" t="s">
        <v>14</v>
      </c>
      <c r="J43" s="810"/>
      <c r="K43" s="810"/>
      <c r="L43" s="810"/>
      <c r="M43" s="810"/>
    </row>
    <row r="44" spans="1:13" s="207" customFormat="1" x14ac:dyDescent="0.2">
      <c r="I44" s="810" t="s">
        <v>918</v>
      </c>
      <c r="J44" s="810"/>
      <c r="K44" s="810"/>
      <c r="L44" s="810"/>
      <c r="M44" s="810"/>
    </row>
    <row r="45" spans="1:13" s="207" customFormat="1" ht="15" x14ac:dyDescent="0.25">
      <c r="A45" s="492" t="s">
        <v>12</v>
      </c>
      <c r="I45" s="657"/>
      <c r="J45" s="207" t="s">
        <v>82</v>
      </c>
    </row>
  </sheetData>
  <mergeCells count="15">
    <mergeCell ref="I42:M42"/>
    <mergeCell ref="I43:M43"/>
    <mergeCell ref="I44:M44"/>
    <mergeCell ref="B2:L2"/>
    <mergeCell ref="L1:M1"/>
    <mergeCell ref="C1:I1"/>
    <mergeCell ref="C39:F39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pageSetUpPr fitToPage="1"/>
  </sheetPr>
  <dimension ref="A1:L46"/>
  <sheetViews>
    <sheetView topLeftCell="B16" zoomScaleSheetLayoutView="63" workbookViewId="0">
      <selection activeCell="E20" sqref="E20:F20"/>
    </sheetView>
  </sheetViews>
  <sheetFormatPr defaultRowHeight="12.75" x14ac:dyDescent="0.2"/>
  <cols>
    <col min="1" max="1" width="40.85546875" style="472" customWidth="1"/>
    <col min="2" max="2" width="25.7109375" style="472" customWidth="1"/>
    <col min="3" max="3" width="21.85546875" style="472" customWidth="1"/>
    <col min="4" max="4" width="22.5703125" style="472" customWidth="1"/>
    <col min="5" max="5" width="25.85546875" style="472" customWidth="1"/>
    <col min="6" max="6" width="17.42578125" style="472" customWidth="1"/>
    <col min="7" max="256" width="9.140625" style="472"/>
    <col min="257" max="257" width="40.85546875" style="472" customWidth="1"/>
    <col min="258" max="258" width="25.7109375" style="472" customWidth="1"/>
    <col min="259" max="259" width="21.85546875" style="472" customWidth="1"/>
    <col min="260" max="260" width="22.5703125" style="472" customWidth="1"/>
    <col min="261" max="261" width="25.85546875" style="472" customWidth="1"/>
    <col min="262" max="262" width="17.42578125" style="472" customWidth="1"/>
    <col min="263" max="512" width="9.140625" style="472"/>
    <col min="513" max="513" width="40.85546875" style="472" customWidth="1"/>
    <col min="514" max="514" width="25.7109375" style="472" customWidth="1"/>
    <col min="515" max="515" width="21.85546875" style="472" customWidth="1"/>
    <col min="516" max="516" width="22.5703125" style="472" customWidth="1"/>
    <col min="517" max="517" width="25.85546875" style="472" customWidth="1"/>
    <col min="518" max="518" width="17.42578125" style="472" customWidth="1"/>
    <col min="519" max="768" width="9.140625" style="472"/>
    <col min="769" max="769" width="40.85546875" style="472" customWidth="1"/>
    <col min="770" max="770" width="25.7109375" style="472" customWidth="1"/>
    <col min="771" max="771" width="21.85546875" style="472" customWidth="1"/>
    <col min="772" max="772" width="22.5703125" style="472" customWidth="1"/>
    <col min="773" max="773" width="25.85546875" style="472" customWidth="1"/>
    <col min="774" max="774" width="17.42578125" style="472" customWidth="1"/>
    <col min="775" max="1024" width="9.140625" style="472"/>
    <col min="1025" max="1025" width="40.85546875" style="472" customWidth="1"/>
    <col min="1026" max="1026" width="25.7109375" style="472" customWidth="1"/>
    <col min="1027" max="1027" width="21.85546875" style="472" customWidth="1"/>
    <col min="1028" max="1028" width="22.5703125" style="472" customWidth="1"/>
    <col min="1029" max="1029" width="25.85546875" style="472" customWidth="1"/>
    <col min="1030" max="1030" width="17.42578125" style="472" customWidth="1"/>
    <col min="1031" max="1280" width="9.140625" style="472"/>
    <col min="1281" max="1281" width="40.85546875" style="472" customWidth="1"/>
    <col min="1282" max="1282" width="25.7109375" style="472" customWidth="1"/>
    <col min="1283" max="1283" width="21.85546875" style="472" customWidth="1"/>
    <col min="1284" max="1284" width="22.5703125" style="472" customWidth="1"/>
    <col min="1285" max="1285" width="25.85546875" style="472" customWidth="1"/>
    <col min="1286" max="1286" width="17.42578125" style="472" customWidth="1"/>
    <col min="1287" max="1536" width="9.140625" style="472"/>
    <col min="1537" max="1537" width="40.85546875" style="472" customWidth="1"/>
    <col min="1538" max="1538" width="25.7109375" style="472" customWidth="1"/>
    <col min="1539" max="1539" width="21.85546875" style="472" customWidth="1"/>
    <col min="1540" max="1540" width="22.5703125" style="472" customWidth="1"/>
    <col min="1541" max="1541" width="25.85546875" style="472" customWidth="1"/>
    <col min="1542" max="1542" width="17.42578125" style="472" customWidth="1"/>
    <col min="1543" max="1792" width="9.140625" style="472"/>
    <col min="1793" max="1793" width="40.85546875" style="472" customWidth="1"/>
    <col min="1794" max="1794" width="25.7109375" style="472" customWidth="1"/>
    <col min="1795" max="1795" width="21.85546875" style="472" customWidth="1"/>
    <col min="1796" max="1796" width="22.5703125" style="472" customWidth="1"/>
    <col min="1797" max="1797" width="25.85546875" style="472" customWidth="1"/>
    <col min="1798" max="1798" width="17.42578125" style="472" customWidth="1"/>
    <col min="1799" max="2048" width="9.140625" style="472"/>
    <col min="2049" max="2049" width="40.85546875" style="472" customWidth="1"/>
    <col min="2050" max="2050" width="25.7109375" style="472" customWidth="1"/>
    <col min="2051" max="2051" width="21.85546875" style="472" customWidth="1"/>
    <col min="2052" max="2052" width="22.5703125" style="472" customWidth="1"/>
    <col min="2053" max="2053" width="25.85546875" style="472" customWidth="1"/>
    <col min="2054" max="2054" width="17.42578125" style="472" customWidth="1"/>
    <col min="2055" max="2304" width="9.140625" style="472"/>
    <col min="2305" max="2305" width="40.85546875" style="472" customWidth="1"/>
    <col min="2306" max="2306" width="25.7109375" style="472" customWidth="1"/>
    <col min="2307" max="2307" width="21.85546875" style="472" customWidth="1"/>
    <col min="2308" max="2308" width="22.5703125" style="472" customWidth="1"/>
    <col min="2309" max="2309" width="25.85546875" style="472" customWidth="1"/>
    <col min="2310" max="2310" width="17.42578125" style="472" customWidth="1"/>
    <col min="2311" max="2560" width="9.140625" style="472"/>
    <col min="2561" max="2561" width="40.85546875" style="472" customWidth="1"/>
    <col min="2562" max="2562" width="25.7109375" style="472" customWidth="1"/>
    <col min="2563" max="2563" width="21.85546875" style="472" customWidth="1"/>
    <col min="2564" max="2564" width="22.5703125" style="472" customWidth="1"/>
    <col min="2565" max="2565" width="25.85546875" style="472" customWidth="1"/>
    <col min="2566" max="2566" width="17.42578125" style="472" customWidth="1"/>
    <col min="2567" max="2816" width="9.140625" style="472"/>
    <col min="2817" max="2817" width="40.85546875" style="472" customWidth="1"/>
    <col min="2818" max="2818" width="25.7109375" style="472" customWidth="1"/>
    <col min="2819" max="2819" width="21.85546875" style="472" customWidth="1"/>
    <col min="2820" max="2820" width="22.5703125" style="472" customWidth="1"/>
    <col min="2821" max="2821" width="25.85546875" style="472" customWidth="1"/>
    <col min="2822" max="2822" width="17.42578125" style="472" customWidth="1"/>
    <col min="2823" max="3072" width="9.140625" style="472"/>
    <col min="3073" max="3073" width="40.85546875" style="472" customWidth="1"/>
    <col min="3074" max="3074" width="25.7109375" style="472" customWidth="1"/>
    <col min="3075" max="3075" width="21.85546875" style="472" customWidth="1"/>
    <col min="3076" max="3076" width="22.5703125" style="472" customWidth="1"/>
    <col min="3077" max="3077" width="25.85546875" style="472" customWidth="1"/>
    <col min="3078" max="3078" width="17.42578125" style="472" customWidth="1"/>
    <col min="3079" max="3328" width="9.140625" style="472"/>
    <col min="3329" max="3329" width="40.85546875" style="472" customWidth="1"/>
    <col min="3330" max="3330" width="25.7109375" style="472" customWidth="1"/>
    <col min="3331" max="3331" width="21.85546875" style="472" customWidth="1"/>
    <col min="3332" max="3332" width="22.5703125" style="472" customWidth="1"/>
    <col min="3333" max="3333" width="25.85546875" style="472" customWidth="1"/>
    <col min="3334" max="3334" width="17.42578125" style="472" customWidth="1"/>
    <col min="3335" max="3584" width="9.140625" style="472"/>
    <col min="3585" max="3585" width="40.85546875" style="472" customWidth="1"/>
    <col min="3586" max="3586" width="25.7109375" style="472" customWidth="1"/>
    <col min="3587" max="3587" width="21.85546875" style="472" customWidth="1"/>
    <col min="3588" max="3588" width="22.5703125" style="472" customWidth="1"/>
    <col min="3589" max="3589" width="25.85546875" style="472" customWidth="1"/>
    <col min="3590" max="3590" width="17.42578125" style="472" customWidth="1"/>
    <col min="3591" max="3840" width="9.140625" style="472"/>
    <col min="3841" max="3841" width="40.85546875" style="472" customWidth="1"/>
    <col min="3842" max="3842" width="25.7109375" style="472" customWidth="1"/>
    <col min="3843" max="3843" width="21.85546875" style="472" customWidth="1"/>
    <col min="3844" max="3844" width="22.5703125" style="472" customWidth="1"/>
    <col min="3845" max="3845" width="25.85546875" style="472" customWidth="1"/>
    <col min="3846" max="3846" width="17.42578125" style="472" customWidth="1"/>
    <col min="3847" max="4096" width="9.140625" style="472"/>
    <col min="4097" max="4097" width="40.85546875" style="472" customWidth="1"/>
    <col min="4098" max="4098" width="25.7109375" style="472" customWidth="1"/>
    <col min="4099" max="4099" width="21.85546875" style="472" customWidth="1"/>
    <col min="4100" max="4100" width="22.5703125" style="472" customWidth="1"/>
    <col min="4101" max="4101" width="25.85546875" style="472" customWidth="1"/>
    <col min="4102" max="4102" width="17.42578125" style="472" customWidth="1"/>
    <col min="4103" max="4352" width="9.140625" style="472"/>
    <col min="4353" max="4353" width="40.85546875" style="472" customWidth="1"/>
    <col min="4354" max="4354" width="25.7109375" style="472" customWidth="1"/>
    <col min="4355" max="4355" width="21.85546875" style="472" customWidth="1"/>
    <col min="4356" max="4356" width="22.5703125" style="472" customWidth="1"/>
    <col min="4357" max="4357" width="25.85546875" style="472" customWidth="1"/>
    <col min="4358" max="4358" width="17.42578125" style="472" customWidth="1"/>
    <col min="4359" max="4608" width="9.140625" style="472"/>
    <col min="4609" max="4609" width="40.85546875" style="472" customWidth="1"/>
    <col min="4610" max="4610" width="25.7109375" style="472" customWidth="1"/>
    <col min="4611" max="4611" width="21.85546875" style="472" customWidth="1"/>
    <col min="4612" max="4612" width="22.5703125" style="472" customWidth="1"/>
    <col min="4613" max="4613" width="25.85546875" style="472" customWidth="1"/>
    <col min="4614" max="4614" width="17.42578125" style="472" customWidth="1"/>
    <col min="4615" max="4864" width="9.140625" style="472"/>
    <col min="4865" max="4865" width="40.85546875" style="472" customWidth="1"/>
    <col min="4866" max="4866" width="25.7109375" style="472" customWidth="1"/>
    <col min="4867" max="4867" width="21.85546875" style="472" customWidth="1"/>
    <col min="4868" max="4868" width="22.5703125" style="472" customWidth="1"/>
    <col min="4869" max="4869" width="25.85546875" style="472" customWidth="1"/>
    <col min="4870" max="4870" width="17.42578125" style="472" customWidth="1"/>
    <col min="4871" max="5120" width="9.140625" style="472"/>
    <col min="5121" max="5121" width="40.85546875" style="472" customWidth="1"/>
    <col min="5122" max="5122" width="25.7109375" style="472" customWidth="1"/>
    <col min="5123" max="5123" width="21.85546875" style="472" customWidth="1"/>
    <col min="5124" max="5124" width="22.5703125" style="472" customWidth="1"/>
    <col min="5125" max="5125" width="25.85546875" style="472" customWidth="1"/>
    <col min="5126" max="5126" width="17.42578125" style="472" customWidth="1"/>
    <col min="5127" max="5376" width="9.140625" style="472"/>
    <col min="5377" max="5377" width="40.85546875" style="472" customWidth="1"/>
    <col min="5378" max="5378" width="25.7109375" style="472" customWidth="1"/>
    <col min="5379" max="5379" width="21.85546875" style="472" customWidth="1"/>
    <col min="5380" max="5380" width="22.5703125" style="472" customWidth="1"/>
    <col min="5381" max="5381" width="25.85546875" style="472" customWidth="1"/>
    <col min="5382" max="5382" width="17.42578125" style="472" customWidth="1"/>
    <col min="5383" max="5632" width="9.140625" style="472"/>
    <col min="5633" max="5633" width="40.85546875" style="472" customWidth="1"/>
    <col min="5634" max="5634" width="25.7109375" style="472" customWidth="1"/>
    <col min="5635" max="5635" width="21.85546875" style="472" customWidth="1"/>
    <col min="5636" max="5636" width="22.5703125" style="472" customWidth="1"/>
    <col min="5637" max="5637" width="25.85546875" style="472" customWidth="1"/>
    <col min="5638" max="5638" width="17.42578125" style="472" customWidth="1"/>
    <col min="5639" max="5888" width="9.140625" style="472"/>
    <col min="5889" max="5889" width="40.85546875" style="472" customWidth="1"/>
    <col min="5890" max="5890" width="25.7109375" style="472" customWidth="1"/>
    <col min="5891" max="5891" width="21.85546875" style="472" customWidth="1"/>
    <col min="5892" max="5892" width="22.5703125" style="472" customWidth="1"/>
    <col min="5893" max="5893" width="25.85546875" style="472" customWidth="1"/>
    <col min="5894" max="5894" width="17.42578125" style="472" customWidth="1"/>
    <col min="5895" max="6144" width="9.140625" style="472"/>
    <col min="6145" max="6145" width="40.85546875" style="472" customWidth="1"/>
    <col min="6146" max="6146" width="25.7109375" style="472" customWidth="1"/>
    <col min="6147" max="6147" width="21.85546875" style="472" customWidth="1"/>
    <col min="6148" max="6148" width="22.5703125" style="472" customWidth="1"/>
    <col min="6149" max="6149" width="25.85546875" style="472" customWidth="1"/>
    <col min="6150" max="6150" width="17.42578125" style="472" customWidth="1"/>
    <col min="6151" max="6400" width="9.140625" style="472"/>
    <col min="6401" max="6401" width="40.85546875" style="472" customWidth="1"/>
    <col min="6402" max="6402" width="25.7109375" style="472" customWidth="1"/>
    <col min="6403" max="6403" width="21.85546875" style="472" customWidth="1"/>
    <col min="6404" max="6404" width="22.5703125" style="472" customWidth="1"/>
    <col min="6405" max="6405" width="25.85546875" style="472" customWidth="1"/>
    <col min="6406" max="6406" width="17.42578125" style="472" customWidth="1"/>
    <col min="6407" max="6656" width="9.140625" style="472"/>
    <col min="6657" max="6657" width="40.85546875" style="472" customWidth="1"/>
    <col min="6658" max="6658" width="25.7109375" style="472" customWidth="1"/>
    <col min="6659" max="6659" width="21.85546875" style="472" customWidth="1"/>
    <col min="6660" max="6660" width="22.5703125" style="472" customWidth="1"/>
    <col min="6661" max="6661" width="25.85546875" style="472" customWidth="1"/>
    <col min="6662" max="6662" width="17.42578125" style="472" customWidth="1"/>
    <col min="6663" max="6912" width="9.140625" style="472"/>
    <col min="6913" max="6913" width="40.85546875" style="472" customWidth="1"/>
    <col min="6914" max="6914" width="25.7109375" style="472" customWidth="1"/>
    <col min="6915" max="6915" width="21.85546875" style="472" customWidth="1"/>
    <col min="6916" max="6916" width="22.5703125" style="472" customWidth="1"/>
    <col min="6917" max="6917" width="25.85546875" style="472" customWidth="1"/>
    <col min="6918" max="6918" width="17.42578125" style="472" customWidth="1"/>
    <col min="6919" max="7168" width="9.140625" style="472"/>
    <col min="7169" max="7169" width="40.85546875" style="472" customWidth="1"/>
    <col min="7170" max="7170" width="25.7109375" style="472" customWidth="1"/>
    <col min="7171" max="7171" width="21.85546875" style="472" customWidth="1"/>
    <col min="7172" max="7172" width="22.5703125" style="472" customWidth="1"/>
    <col min="7173" max="7173" width="25.85546875" style="472" customWidth="1"/>
    <col min="7174" max="7174" width="17.42578125" style="472" customWidth="1"/>
    <col min="7175" max="7424" width="9.140625" style="472"/>
    <col min="7425" max="7425" width="40.85546875" style="472" customWidth="1"/>
    <col min="7426" max="7426" width="25.7109375" style="472" customWidth="1"/>
    <col min="7427" max="7427" width="21.85546875" style="472" customWidth="1"/>
    <col min="7428" max="7428" width="22.5703125" style="472" customWidth="1"/>
    <col min="7429" max="7429" width="25.85546875" style="472" customWidth="1"/>
    <col min="7430" max="7430" width="17.42578125" style="472" customWidth="1"/>
    <col min="7431" max="7680" width="9.140625" style="472"/>
    <col min="7681" max="7681" width="40.85546875" style="472" customWidth="1"/>
    <col min="7682" max="7682" width="25.7109375" style="472" customWidth="1"/>
    <col min="7683" max="7683" width="21.85546875" style="472" customWidth="1"/>
    <col min="7684" max="7684" width="22.5703125" style="472" customWidth="1"/>
    <col min="7685" max="7685" width="25.85546875" style="472" customWidth="1"/>
    <col min="7686" max="7686" width="17.42578125" style="472" customWidth="1"/>
    <col min="7687" max="7936" width="9.140625" style="472"/>
    <col min="7937" max="7937" width="40.85546875" style="472" customWidth="1"/>
    <col min="7938" max="7938" width="25.7109375" style="472" customWidth="1"/>
    <col min="7939" max="7939" width="21.85546875" style="472" customWidth="1"/>
    <col min="7940" max="7940" width="22.5703125" style="472" customWidth="1"/>
    <col min="7941" max="7941" width="25.85546875" style="472" customWidth="1"/>
    <col min="7942" max="7942" width="17.42578125" style="472" customWidth="1"/>
    <col min="7943" max="8192" width="9.140625" style="472"/>
    <col min="8193" max="8193" width="40.85546875" style="472" customWidth="1"/>
    <col min="8194" max="8194" width="25.7109375" style="472" customWidth="1"/>
    <col min="8195" max="8195" width="21.85546875" style="472" customWidth="1"/>
    <col min="8196" max="8196" width="22.5703125" style="472" customWidth="1"/>
    <col min="8197" max="8197" width="25.85546875" style="472" customWidth="1"/>
    <col min="8198" max="8198" width="17.42578125" style="472" customWidth="1"/>
    <col min="8199" max="8448" width="9.140625" style="472"/>
    <col min="8449" max="8449" width="40.85546875" style="472" customWidth="1"/>
    <col min="8450" max="8450" width="25.7109375" style="472" customWidth="1"/>
    <col min="8451" max="8451" width="21.85546875" style="472" customWidth="1"/>
    <col min="8452" max="8452" width="22.5703125" style="472" customWidth="1"/>
    <col min="8453" max="8453" width="25.85546875" style="472" customWidth="1"/>
    <col min="8454" max="8454" width="17.42578125" style="472" customWidth="1"/>
    <col min="8455" max="8704" width="9.140625" style="472"/>
    <col min="8705" max="8705" width="40.85546875" style="472" customWidth="1"/>
    <col min="8706" max="8706" width="25.7109375" style="472" customWidth="1"/>
    <col min="8707" max="8707" width="21.85546875" style="472" customWidth="1"/>
    <col min="8708" max="8708" width="22.5703125" style="472" customWidth="1"/>
    <col min="8709" max="8709" width="25.85546875" style="472" customWidth="1"/>
    <col min="8710" max="8710" width="17.42578125" style="472" customWidth="1"/>
    <col min="8711" max="8960" width="9.140625" style="472"/>
    <col min="8961" max="8961" width="40.85546875" style="472" customWidth="1"/>
    <col min="8962" max="8962" width="25.7109375" style="472" customWidth="1"/>
    <col min="8963" max="8963" width="21.85546875" style="472" customWidth="1"/>
    <col min="8964" max="8964" width="22.5703125" style="472" customWidth="1"/>
    <col min="8965" max="8965" width="25.85546875" style="472" customWidth="1"/>
    <col min="8966" max="8966" width="17.42578125" style="472" customWidth="1"/>
    <col min="8967" max="9216" width="9.140625" style="472"/>
    <col min="9217" max="9217" width="40.85546875" style="472" customWidth="1"/>
    <col min="9218" max="9218" width="25.7109375" style="472" customWidth="1"/>
    <col min="9219" max="9219" width="21.85546875" style="472" customWidth="1"/>
    <col min="9220" max="9220" width="22.5703125" style="472" customWidth="1"/>
    <col min="9221" max="9221" width="25.85546875" style="472" customWidth="1"/>
    <col min="9222" max="9222" width="17.42578125" style="472" customWidth="1"/>
    <col min="9223" max="9472" width="9.140625" style="472"/>
    <col min="9473" max="9473" width="40.85546875" style="472" customWidth="1"/>
    <col min="9474" max="9474" width="25.7109375" style="472" customWidth="1"/>
    <col min="9475" max="9475" width="21.85546875" style="472" customWidth="1"/>
    <col min="9476" max="9476" width="22.5703125" style="472" customWidth="1"/>
    <col min="9477" max="9477" width="25.85546875" style="472" customWidth="1"/>
    <col min="9478" max="9478" width="17.42578125" style="472" customWidth="1"/>
    <col min="9479" max="9728" width="9.140625" style="472"/>
    <col min="9729" max="9729" width="40.85546875" style="472" customWidth="1"/>
    <col min="9730" max="9730" width="25.7109375" style="472" customWidth="1"/>
    <col min="9731" max="9731" width="21.85546875" style="472" customWidth="1"/>
    <col min="9732" max="9732" width="22.5703125" style="472" customWidth="1"/>
    <col min="9733" max="9733" width="25.85546875" style="472" customWidth="1"/>
    <col min="9734" max="9734" width="17.42578125" style="472" customWidth="1"/>
    <col min="9735" max="9984" width="9.140625" style="472"/>
    <col min="9985" max="9985" width="40.85546875" style="472" customWidth="1"/>
    <col min="9986" max="9986" width="25.7109375" style="472" customWidth="1"/>
    <col min="9987" max="9987" width="21.85546875" style="472" customWidth="1"/>
    <col min="9988" max="9988" width="22.5703125" style="472" customWidth="1"/>
    <col min="9989" max="9989" width="25.85546875" style="472" customWidth="1"/>
    <col min="9990" max="9990" width="17.42578125" style="472" customWidth="1"/>
    <col min="9991" max="10240" width="9.140625" style="472"/>
    <col min="10241" max="10241" width="40.85546875" style="472" customWidth="1"/>
    <col min="10242" max="10242" width="25.7109375" style="472" customWidth="1"/>
    <col min="10243" max="10243" width="21.85546875" style="472" customWidth="1"/>
    <col min="10244" max="10244" width="22.5703125" style="472" customWidth="1"/>
    <col min="10245" max="10245" width="25.85546875" style="472" customWidth="1"/>
    <col min="10246" max="10246" width="17.42578125" style="472" customWidth="1"/>
    <col min="10247" max="10496" width="9.140625" style="472"/>
    <col min="10497" max="10497" width="40.85546875" style="472" customWidth="1"/>
    <col min="10498" max="10498" width="25.7109375" style="472" customWidth="1"/>
    <col min="10499" max="10499" width="21.85546875" style="472" customWidth="1"/>
    <col min="10500" max="10500" width="22.5703125" style="472" customWidth="1"/>
    <col min="10501" max="10501" width="25.85546875" style="472" customWidth="1"/>
    <col min="10502" max="10502" width="17.42578125" style="472" customWidth="1"/>
    <col min="10503" max="10752" width="9.140625" style="472"/>
    <col min="10753" max="10753" width="40.85546875" style="472" customWidth="1"/>
    <col min="10754" max="10754" width="25.7109375" style="472" customWidth="1"/>
    <col min="10755" max="10755" width="21.85546875" style="472" customWidth="1"/>
    <col min="10756" max="10756" width="22.5703125" style="472" customWidth="1"/>
    <col min="10757" max="10757" width="25.85546875" style="472" customWidth="1"/>
    <col min="10758" max="10758" width="17.42578125" style="472" customWidth="1"/>
    <col min="10759" max="11008" width="9.140625" style="472"/>
    <col min="11009" max="11009" width="40.85546875" style="472" customWidth="1"/>
    <col min="11010" max="11010" width="25.7109375" style="472" customWidth="1"/>
    <col min="11011" max="11011" width="21.85546875" style="472" customWidth="1"/>
    <col min="11012" max="11012" width="22.5703125" style="472" customWidth="1"/>
    <col min="11013" max="11013" width="25.85546875" style="472" customWidth="1"/>
    <col min="11014" max="11014" width="17.42578125" style="472" customWidth="1"/>
    <col min="11015" max="11264" width="9.140625" style="472"/>
    <col min="11265" max="11265" width="40.85546875" style="472" customWidth="1"/>
    <col min="11266" max="11266" width="25.7109375" style="472" customWidth="1"/>
    <col min="11267" max="11267" width="21.85546875" style="472" customWidth="1"/>
    <col min="11268" max="11268" width="22.5703125" style="472" customWidth="1"/>
    <col min="11269" max="11269" width="25.85546875" style="472" customWidth="1"/>
    <col min="11270" max="11270" width="17.42578125" style="472" customWidth="1"/>
    <col min="11271" max="11520" width="9.140625" style="472"/>
    <col min="11521" max="11521" width="40.85546875" style="472" customWidth="1"/>
    <col min="11522" max="11522" width="25.7109375" style="472" customWidth="1"/>
    <col min="11523" max="11523" width="21.85546875" style="472" customWidth="1"/>
    <col min="11524" max="11524" width="22.5703125" style="472" customWidth="1"/>
    <col min="11525" max="11525" width="25.85546875" style="472" customWidth="1"/>
    <col min="11526" max="11526" width="17.42578125" style="472" customWidth="1"/>
    <col min="11527" max="11776" width="9.140625" style="472"/>
    <col min="11777" max="11777" width="40.85546875" style="472" customWidth="1"/>
    <col min="11778" max="11778" width="25.7109375" style="472" customWidth="1"/>
    <col min="11779" max="11779" width="21.85546875" style="472" customWidth="1"/>
    <col min="11780" max="11780" width="22.5703125" style="472" customWidth="1"/>
    <col min="11781" max="11781" width="25.85546875" style="472" customWidth="1"/>
    <col min="11782" max="11782" width="17.42578125" style="472" customWidth="1"/>
    <col min="11783" max="12032" width="9.140625" style="472"/>
    <col min="12033" max="12033" width="40.85546875" style="472" customWidth="1"/>
    <col min="12034" max="12034" width="25.7109375" style="472" customWidth="1"/>
    <col min="12035" max="12035" width="21.85546875" style="472" customWidth="1"/>
    <col min="12036" max="12036" width="22.5703125" style="472" customWidth="1"/>
    <col min="12037" max="12037" width="25.85546875" style="472" customWidth="1"/>
    <col min="12038" max="12038" width="17.42578125" style="472" customWidth="1"/>
    <col min="12039" max="12288" width="9.140625" style="472"/>
    <col min="12289" max="12289" width="40.85546875" style="472" customWidth="1"/>
    <col min="12290" max="12290" width="25.7109375" style="472" customWidth="1"/>
    <col min="12291" max="12291" width="21.85546875" style="472" customWidth="1"/>
    <col min="12292" max="12292" width="22.5703125" style="472" customWidth="1"/>
    <col min="12293" max="12293" width="25.85546875" style="472" customWidth="1"/>
    <col min="12294" max="12294" width="17.42578125" style="472" customWidth="1"/>
    <col min="12295" max="12544" width="9.140625" style="472"/>
    <col min="12545" max="12545" width="40.85546875" style="472" customWidth="1"/>
    <col min="12546" max="12546" width="25.7109375" style="472" customWidth="1"/>
    <col min="12547" max="12547" width="21.85546875" style="472" customWidth="1"/>
    <col min="12548" max="12548" width="22.5703125" style="472" customWidth="1"/>
    <col min="12549" max="12549" width="25.85546875" style="472" customWidth="1"/>
    <col min="12550" max="12550" width="17.42578125" style="472" customWidth="1"/>
    <col min="12551" max="12800" width="9.140625" style="472"/>
    <col min="12801" max="12801" width="40.85546875" style="472" customWidth="1"/>
    <col min="12802" max="12802" width="25.7109375" style="472" customWidth="1"/>
    <col min="12803" max="12803" width="21.85546875" style="472" customWidth="1"/>
    <col min="12804" max="12804" width="22.5703125" style="472" customWidth="1"/>
    <col min="12805" max="12805" width="25.85546875" style="472" customWidth="1"/>
    <col min="12806" max="12806" width="17.42578125" style="472" customWidth="1"/>
    <col min="12807" max="13056" width="9.140625" style="472"/>
    <col min="13057" max="13057" width="40.85546875" style="472" customWidth="1"/>
    <col min="13058" max="13058" width="25.7109375" style="472" customWidth="1"/>
    <col min="13059" max="13059" width="21.85546875" style="472" customWidth="1"/>
    <col min="13060" max="13060" width="22.5703125" style="472" customWidth="1"/>
    <col min="13061" max="13061" width="25.85546875" style="472" customWidth="1"/>
    <col min="13062" max="13062" width="17.42578125" style="472" customWidth="1"/>
    <col min="13063" max="13312" width="9.140625" style="472"/>
    <col min="13313" max="13313" width="40.85546875" style="472" customWidth="1"/>
    <col min="13314" max="13314" width="25.7109375" style="472" customWidth="1"/>
    <col min="13315" max="13315" width="21.85546875" style="472" customWidth="1"/>
    <col min="13316" max="13316" width="22.5703125" style="472" customWidth="1"/>
    <col min="13317" max="13317" width="25.85546875" style="472" customWidth="1"/>
    <col min="13318" max="13318" width="17.42578125" style="472" customWidth="1"/>
    <col min="13319" max="13568" width="9.140625" style="472"/>
    <col min="13569" max="13569" width="40.85546875" style="472" customWidth="1"/>
    <col min="13570" max="13570" width="25.7109375" style="472" customWidth="1"/>
    <col min="13571" max="13571" width="21.85546875" style="472" customWidth="1"/>
    <col min="13572" max="13572" width="22.5703125" style="472" customWidth="1"/>
    <col min="13573" max="13573" width="25.85546875" style="472" customWidth="1"/>
    <col min="13574" max="13574" width="17.42578125" style="472" customWidth="1"/>
    <col min="13575" max="13824" width="9.140625" style="472"/>
    <col min="13825" max="13825" width="40.85546875" style="472" customWidth="1"/>
    <col min="13826" max="13826" width="25.7109375" style="472" customWidth="1"/>
    <col min="13827" max="13827" width="21.85546875" style="472" customWidth="1"/>
    <col min="13828" max="13828" width="22.5703125" style="472" customWidth="1"/>
    <col min="13829" max="13829" width="25.85546875" style="472" customWidth="1"/>
    <col min="13830" max="13830" width="17.42578125" style="472" customWidth="1"/>
    <col min="13831" max="14080" width="9.140625" style="472"/>
    <col min="14081" max="14081" width="40.85546875" style="472" customWidth="1"/>
    <col min="14082" max="14082" width="25.7109375" style="472" customWidth="1"/>
    <col min="14083" max="14083" width="21.85546875" style="472" customWidth="1"/>
    <col min="14084" max="14084" width="22.5703125" style="472" customWidth="1"/>
    <col min="14085" max="14085" width="25.85546875" style="472" customWidth="1"/>
    <col min="14086" max="14086" width="17.42578125" style="472" customWidth="1"/>
    <col min="14087" max="14336" width="9.140625" style="472"/>
    <col min="14337" max="14337" width="40.85546875" style="472" customWidth="1"/>
    <col min="14338" max="14338" width="25.7109375" style="472" customWidth="1"/>
    <col min="14339" max="14339" width="21.85546875" style="472" customWidth="1"/>
    <col min="14340" max="14340" width="22.5703125" style="472" customWidth="1"/>
    <col min="14341" max="14341" width="25.85546875" style="472" customWidth="1"/>
    <col min="14342" max="14342" width="17.42578125" style="472" customWidth="1"/>
    <col min="14343" max="14592" width="9.140625" style="472"/>
    <col min="14593" max="14593" width="40.85546875" style="472" customWidth="1"/>
    <col min="14594" max="14594" width="25.7109375" style="472" customWidth="1"/>
    <col min="14595" max="14595" width="21.85546875" style="472" customWidth="1"/>
    <col min="14596" max="14596" width="22.5703125" style="472" customWidth="1"/>
    <col min="14597" max="14597" width="25.85546875" style="472" customWidth="1"/>
    <col min="14598" max="14598" width="17.42578125" style="472" customWidth="1"/>
    <col min="14599" max="14848" width="9.140625" style="472"/>
    <col min="14849" max="14849" width="40.85546875" style="472" customWidth="1"/>
    <col min="14850" max="14850" width="25.7109375" style="472" customWidth="1"/>
    <col min="14851" max="14851" width="21.85546875" style="472" customWidth="1"/>
    <col min="14852" max="14852" width="22.5703125" style="472" customWidth="1"/>
    <col min="14853" max="14853" width="25.85546875" style="472" customWidth="1"/>
    <col min="14854" max="14854" width="17.42578125" style="472" customWidth="1"/>
    <col min="14855" max="15104" width="9.140625" style="472"/>
    <col min="15105" max="15105" width="40.85546875" style="472" customWidth="1"/>
    <col min="15106" max="15106" width="25.7109375" style="472" customWidth="1"/>
    <col min="15107" max="15107" width="21.85546875" style="472" customWidth="1"/>
    <col min="15108" max="15108" width="22.5703125" style="472" customWidth="1"/>
    <col min="15109" max="15109" width="25.85546875" style="472" customWidth="1"/>
    <col min="15110" max="15110" width="17.42578125" style="472" customWidth="1"/>
    <col min="15111" max="15360" width="9.140625" style="472"/>
    <col min="15361" max="15361" width="40.85546875" style="472" customWidth="1"/>
    <col min="15362" max="15362" width="25.7109375" style="472" customWidth="1"/>
    <col min="15363" max="15363" width="21.85546875" style="472" customWidth="1"/>
    <col min="15364" max="15364" width="22.5703125" style="472" customWidth="1"/>
    <col min="15365" max="15365" width="25.85546875" style="472" customWidth="1"/>
    <col min="15366" max="15366" width="17.42578125" style="472" customWidth="1"/>
    <col min="15367" max="15616" width="9.140625" style="472"/>
    <col min="15617" max="15617" width="40.85546875" style="472" customWidth="1"/>
    <col min="15618" max="15618" width="25.7109375" style="472" customWidth="1"/>
    <col min="15619" max="15619" width="21.85546875" style="472" customWidth="1"/>
    <col min="15620" max="15620" width="22.5703125" style="472" customWidth="1"/>
    <col min="15621" max="15621" width="25.85546875" style="472" customWidth="1"/>
    <col min="15622" max="15622" width="17.42578125" style="472" customWidth="1"/>
    <col min="15623" max="15872" width="9.140625" style="472"/>
    <col min="15873" max="15873" width="40.85546875" style="472" customWidth="1"/>
    <col min="15874" max="15874" width="25.7109375" style="472" customWidth="1"/>
    <col min="15875" max="15875" width="21.85546875" style="472" customWidth="1"/>
    <col min="15876" max="15876" width="22.5703125" style="472" customWidth="1"/>
    <col min="15877" max="15877" width="25.85546875" style="472" customWidth="1"/>
    <col min="15878" max="15878" width="17.42578125" style="472" customWidth="1"/>
    <col min="15879" max="16128" width="9.140625" style="472"/>
    <col min="16129" max="16129" width="40.85546875" style="472" customWidth="1"/>
    <col min="16130" max="16130" width="25.7109375" style="472" customWidth="1"/>
    <col min="16131" max="16131" width="21.85546875" style="472" customWidth="1"/>
    <col min="16132" max="16132" width="22.5703125" style="472" customWidth="1"/>
    <col min="16133" max="16133" width="25.85546875" style="472" customWidth="1"/>
    <col min="16134" max="16134" width="17.42578125" style="472" customWidth="1"/>
    <col min="16135" max="16384" width="9.140625" style="472"/>
  </cols>
  <sheetData>
    <row r="1" spans="1:12" ht="18" x14ac:dyDescent="0.35">
      <c r="A1" s="1019" t="s">
        <v>0</v>
      </c>
      <c r="B1" s="1019"/>
      <c r="C1" s="1019"/>
      <c r="D1" s="1019"/>
      <c r="E1" s="1019"/>
      <c r="F1" s="473" t="s">
        <v>526</v>
      </c>
      <c r="G1" s="597"/>
      <c r="H1" s="597"/>
      <c r="I1" s="597"/>
      <c r="J1" s="597"/>
      <c r="K1" s="597"/>
      <c r="L1" s="597"/>
    </row>
    <row r="2" spans="1:12" ht="21" x14ac:dyDescent="0.35">
      <c r="A2" s="1020" t="s">
        <v>738</v>
      </c>
      <c r="B2" s="1020"/>
      <c r="C2" s="1020"/>
      <c r="D2" s="1020"/>
      <c r="E2" s="1020"/>
      <c r="F2" s="1020"/>
      <c r="G2" s="598"/>
      <c r="H2" s="598"/>
      <c r="I2" s="598"/>
      <c r="J2" s="598"/>
      <c r="K2" s="598"/>
      <c r="L2" s="598"/>
    </row>
    <row r="3" spans="1:12" x14ac:dyDescent="0.2">
      <c r="A3" s="599"/>
      <c r="B3" s="599"/>
      <c r="C3" s="599"/>
      <c r="D3" s="599"/>
      <c r="E3" s="599"/>
      <c r="F3" s="599"/>
    </row>
    <row r="4" spans="1:12" ht="18.75" x14ac:dyDescent="0.2">
      <c r="A4" s="1086" t="s">
        <v>525</v>
      </c>
      <c r="B4" s="1086"/>
      <c r="C4" s="1086"/>
      <c r="D4" s="1086"/>
      <c r="E4" s="1086"/>
      <c r="F4" s="1086"/>
      <c r="G4" s="1086"/>
    </row>
    <row r="5" spans="1:12" ht="18.75" x14ac:dyDescent="0.3">
      <c r="A5" s="197" t="s">
        <v>917</v>
      </c>
      <c r="B5" s="197" t="s">
        <v>916</v>
      </c>
      <c r="C5" s="600"/>
      <c r="D5" s="600"/>
      <c r="E5" s="600"/>
      <c r="F5" s="600"/>
      <c r="G5" s="600"/>
    </row>
    <row r="6" spans="1:12" ht="31.5" x14ac:dyDescent="0.25">
      <c r="A6" s="601"/>
      <c r="B6" s="602" t="s">
        <v>317</v>
      </c>
      <c r="C6" s="602" t="s">
        <v>318</v>
      </c>
      <c r="D6" s="602" t="s">
        <v>319</v>
      </c>
      <c r="E6" s="603"/>
      <c r="F6" s="603"/>
    </row>
    <row r="7" spans="1:12" ht="15" x14ac:dyDescent="0.25">
      <c r="A7" s="604" t="s">
        <v>320</v>
      </c>
      <c r="B7" s="537" t="s">
        <v>1000</v>
      </c>
      <c r="C7" s="537" t="s">
        <v>1001</v>
      </c>
      <c r="D7" s="537" t="s">
        <v>1002</v>
      </c>
      <c r="E7" s="603"/>
      <c r="F7" s="603"/>
    </row>
    <row r="8" spans="1:12" ht="13.5" customHeight="1" x14ac:dyDescent="0.25">
      <c r="A8" s="605" t="s">
        <v>321</v>
      </c>
      <c r="B8" s="537" t="s">
        <v>1003</v>
      </c>
      <c r="C8" s="537" t="s">
        <v>1003</v>
      </c>
      <c r="D8" s="537" t="s">
        <v>1004</v>
      </c>
      <c r="E8" s="603"/>
      <c r="F8" s="603"/>
    </row>
    <row r="9" spans="1:12" ht="13.5" customHeight="1" x14ac:dyDescent="0.25">
      <c r="A9" s="605" t="s">
        <v>322</v>
      </c>
      <c r="B9" s="537" t="s">
        <v>1005</v>
      </c>
      <c r="C9" s="537" t="s">
        <v>1005</v>
      </c>
      <c r="D9" s="537" t="s">
        <v>1005</v>
      </c>
      <c r="E9" s="603"/>
      <c r="F9" s="603"/>
    </row>
    <row r="10" spans="1:12" ht="13.5" customHeight="1" x14ac:dyDescent="0.25">
      <c r="A10" s="606" t="s">
        <v>323</v>
      </c>
      <c r="B10" s="537">
        <v>18002331152</v>
      </c>
      <c r="C10" s="537">
        <v>18002331152</v>
      </c>
      <c r="D10" s="537">
        <v>18002331152</v>
      </c>
      <c r="E10" s="603"/>
      <c r="F10" s="603"/>
    </row>
    <row r="11" spans="1:12" ht="13.5" customHeight="1" x14ac:dyDescent="0.25">
      <c r="A11" s="606" t="s">
        <v>324</v>
      </c>
      <c r="B11" s="538" t="s">
        <v>1006</v>
      </c>
      <c r="C11" s="538" t="s">
        <v>1007</v>
      </c>
      <c r="D11" s="538" t="s">
        <v>1007</v>
      </c>
      <c r="E11" s="603"/>
      <c r="F11" s="603"/>
    </row>
    <row r="12" spans="1:12" ht="13.5" customHeight="1" x14ac:dyDescent="0.25">
      <c r="A12" s="606" t="s">
        <v>325</v>
      </c>
      <c r="B12" s="537"/>
      <c r="C12" s="537"/>
      <c r="D12" s="537"/>
      <c r="E12" s="603"/>
      <c r="F12" s="603"/>
    </row>
    <row r="13" spans="1:12" ht="13.5" customHeight="1" x14ac:dyDescent="0.25">
      <c r="A13" s="606" t="s">
        <v>326</v>
      </c>
      <c r="B13" s="539" t="s">
        <v>1008</v>
      </c>
      <c r="C13" s="537"/>
      <c r="D13" s="537"/>
      <c r="E13" s="603"/>
      <c r="F13" s="603"/>
    </row>
    <row r="14" spans="1:12" ht="13.5" customHeight="1" x14ac:dyDescent="0.25">
      <c r="A14" s="606" t="s">
        <v>327</v>
      </c>
      <c r="B14" s="537"/>
      <c r="C14" s="537"/>
      <c r="D14" s="537"/>
      <c r="E14" s="603"/>
      <c r="F14" s="603"/>
    </row>
    <row r="15" spans="1:12" ht="13.5" customHeight="1" x14ac:dyDescent="0.25">
      <c r="A15" s="606" t="s">
        <v>328</v>
      </c>
      <c r="B15" s="537"/>
      <c r="C15" s="537"/>
      <c r="D15" s="537"/>
      <c r="E15" s="603"/>
      <c r="F15" s="603"/>
    </row>
    <row r="16" spans="1:12" ht="13.5" customHeight="1" x14ac:dyDescent="0.25">
      <c r="A16" s="606" t="s">
        <v>329</v>
      </c>
      <c r="B16" s="537"/>
      <c r="C16" s="537"/>
      <c r="D16" s="537"/>
      <c r="E16" s="603"/>
      <c r="F16" s="603"/>
    </row>
    <row r="17" spans="1:7" ht="13.5" customHeight="1" x14ac:dyDescent="0.25">
      <c r="A17" s="606" t="s">
        <v>330</v>
      </c>
      <c r="B17" s="537"/>
      <c r="C17" s="537"/>
      <c r="D17" s="537"/>
      <c r="E17" s="603"/>
      <c r="F17" s="603"/>
    </row>
    <row r="18" spans="1:7" ht="13.5" customHeight="1" x14ac:dyDescent="0.25">
      <c r="A18" s="607"/>
      <c r="B18" s="608"/>
      <c r="C18" s="608"/>
      <c r="D18" s="608"/>
      <c r="E18" s="603"/>
      <c r="F18" s="603"/>
    </row>
    <row r="19" spans="1:7" ht="13.5" customHeight="1" x14ac:dyDescent="0.2">
      <c r="A19" s="1086" t="s">
        <v>331</v>
      </c>
      <c r="B19" s="1086"/>
      <c r="C19" s="1086"/>
      <c r="D19" s="1086"/>
      <c r="E19" s="1086"/>
      <c r="F19" s="1086"/>
      <c r="G19" s="1086"/>
    </row>
    <row r="20" spans="1:7" ht="15" x14ac:dyDescent="0.25">
      <c r="A20" s="603"/>
      <c r="B20" s="603"/>
      <c r="C20" s="603"/>
      <c r="D20" s="603"/>
      <c r="E20" s="1044" t="s">
        <v>1186</v>
      </c>
      <c r="F20" s="1044"/>
      <c r="G20" s="486"/>
    </row>
    <row r="21" spans="1:7" ht="46.15" customHeight="1" x14ac:dyDescent="0.2">
      <c r="A21" s="609" t="s">
        <v>420</v>
      </c>
      <c r="B21" s="609" t="s">
        <v>3</v>
      </c>
      <c r="C21" s="610" t="s">
        <v>332</v>
      </c>
      <c r="D21" s="611" t="s">
        <v>333</v>
      </c>
      <c r="E21" s="609" t="s">
        <v>334</v>
      </c>
      <c r="F21" s="609" t="s">
        <v>335</v>
      </c>
    </row>
    <row r="22" spans="1:7" ht="15" x14ac:dyDescent="0.25">
      <c r="A22" s="605" t="s">
        <v>336</v>
      </c>
      <c r="B22" s="605"/>
      <c r="C22" s="605"/>
      <c r="D22" s="612"/>
      <c r="E22" s="613"/>
      <c r="F22" s="613"/>
    </row>
    <row r="23" spans="1:7" ht="15" x14ac:dyDescent="0.25">
      <c r="A23" s="605" t="s">
        <v>337</v>
      </c>
      <c r="B23" s="605"/>
      <c r="C23" s="605"/>
      <c r="D23" s="612"/>
      <c r="E23" s="613"/>
      <c r="F23" s="613"/>
    </row>
    <row r="24" spans="1:7" ht="15" x14ac:dyDescent="0.25">
      <c r="A24" s="605" t="s">
        <v>338</v>
      </c>
      <c r="B24" s="605"/>
      <c r="C24" s="484"/>
      <c r="D24" s="612"/>
      <c r="E24" s="613"/>
      <c r="F24" s="613"/>
    </row>
    <row r="25" spans="1:7" ht="25.5" x14ac:dyDescent="0.25">
      <c r="A25" s="605" t="s">
        <v>339</v>
      </c>
      <c r="B25" s="605"/>
      <c r="C25" s="484"/>
      <c r="D25" s="612"/>
      <c r="E25" s="613"/>
      <c r="F25" s="613"/>
    </row>
    <row r="26" spans="1:7" ht="32.25" customHeight="1" x14ac:dyDescent="0.25">
      <c r="A26" s="605" t="s">
        <v>340</v>
      </c>
      <c r="B26" s="605"/>
      <c r="C26" s="484"/>
      <c r="D26" s="612"/>
      <c r="E26" s="613"/>
      <c r="F26" s="613"/>
    </row>
    <row r="27" spans="1:7" ht="15" x14ac:dyDescent="0.25">
      <c r="A27" s="605" t="s">
        <v>341</v>
      </c>
      <c r="B27" s="605"/>
      <c r="C27" s="484"/>
      <c r="D27" s="612"/>
      <c r="E27" s="613"/>
      <c r="F27" s="613"/>
    </row>
    <row r="28" spans="1:7" ht="75.75" customHeight="1" x14ac:dyDescent="0.2">
      <c r="A28" s="605" t="s">
        <v>342</v>
      </c>
      <c r="B28" s="605" t="s">
        <v>1012</v>
      </c>
      <c r="C28" s="614">
        <v>4</v>
      </c>
      <c r="D28" s="612" t="s">
        <v>1013</v>
      </c>
      <c r="E28" s="615" t="s">
        <v>1014</v>
      </c>
      <c r="F28" s="615" t="s">
        <v>1015</v>
      </c>
    </row>
    <row r="29" spans="1:7" ht="15" x14ac:dyDescent="0.25">
      <c r="A29" s="605" t="s">
        <v>343</v>
      </c>
      <c r="B29" s="605"/>
      <c r="C29" s="605"/>
      <c r="D29" s="612"/>
      <c r="E29" s="613"/>
      <c r="F29" s="613"/>
    </row>
    <row r="30" spans="1:7" ht="15" x14ac:dyDescent="0.25">
      <c r="A30" s="605" t="s">
        <v>344</v>
      </c>
      <c r="B30" s="605"/>
      <c r="C30" s="605"/>
      <c r="D30" s="612"/>
      <c r="E30" s="613"/>
      <c r="F30" s="613"/>
    </row>
    <row r="31" spans="1:7" ht="15" x14ac:dyDescent="0.25">
      <c r="A31" s="605" t="s">
        <v>345</v>
      </c>
      <c r="B31" s="605"/>
      <c r="C31" s="605"/>
      <c r="D31" s="612"/>
      <c r="E31" s="613"/>
      <c r="F31" s="613"/>
    </row>
    <row r="32" spans="1:7" ht="15" x14ac:dyDescent="0.25">
      <c r="A32" s="605" t="s">
        <v>346</v>
      </c>
      <c r="B32" s="605"/>
      <c r="C32" s="605"/>
      <c r="D32" s="612"/>
      <c r="E32" s="613"/>
      <c r="F32" s="613"/>
    </row>
    <row r="33" spans="1:7" ht="15" x14ac:dyDescent="0.25">
      <c r="A33" s="605" t="s">
        <v>347</v>
      </c>
      <c r="B33" s="605"/>
      <c r="C33" s="605"/>
      <c r="D33" s="612"/>
      <c r="E33" s="613"/>
      <c r="F33" s="613"/>
    </row>
    <row r="34" spans="1:7" ht="15" x14ac:dyDescent="0.25">
      <c r="A34" s="605" t="s">
        <v>348</v>
      </c>
      <c r="B34" s="605"/>
      <c r="C34" s="605"/>
      <c r="D34" s="612"/>
      <c r="E34" s="613"/>
      <c r="F34" s="613"/>
    </row>
    <row r="35" spans="1:7" ht="15" x14ac:dyDescent="0.25">
      <c r="A35" s="605" t="s">
        <v>349</v>
      </c>
      <c r="B35" s="605"/>
      <c r="C35" s="605"/>
      <c r="D35" s="612"/>
      <c r="E35" s="613"/>
      <c r="F35" s="613"/>
    </row>
    <row r="36" spans="1:7" ht="15" x14ac:dyDescent="0.25">
      <c r="A36" s="605" t="s">
        <v>350</v>
      </c>
      <c r="B36" s="605"/>
      <c r="C36" s="605"/>
      <c r="D36" s="612"/>
      <c r="E36" s="613"/>
      <c r="F36" s="613"/>
    </row>
    <row r="37" spans="1:7" ht="15" x14ac:dyDescent="0.25">
      <c r="A37" s="605" t="s">
        <v>351</v>
      </c>
      <c r="B37" s="605"/>
      <c r="C37" s="605"/>
      <c r="D37" s="612"/>
      <c r="E37" s="613"/>
      <c r="F37" s="613"/>
    </row>
    <row r="38" spans="1:7" ht="74.25" customHeight="1" x14ac:dyDescent="0.2">
      <c r="A38" s="616" t="s">
        <v>1016</v>
      </c>
      <c r="B38" s="617" t="s">
        <v>1017</v>
      </c>
      <c r="C38" s="617">
        <v>14</v>
      </c>
      <c r="D38" s="618" t="s">
        <v>1018</v>
      </c>
      <c r="E38" s="619" t="s">
        <v>1019</v>
      </c>
      <c r="F38" s="619" t="s">
        <v>1020</v>
      </c>
    </row>
    <row r="39" spans="1:7" ht="15" x14ac:dyDescent="0.25">
      <c r="A39" s="620" t="s">
        <v>18</v>
      </c>
      <c r="B39" s="605"/>
      <c r="C39" s="605">
        <f>SUM(C28:C38)</f>
        <v>18</v>
      </c>
      <c r="D39" s="612"/>
      <c r="E39" s="613" t="s">
        <v>11</v>
      </c>
      <c r="F39" s="613"/>
    </row>
    <row r="43" spans="1:7" ht="15" customHeight="1" x14ac:dyDescent="0.2">
      <c r="A43" s="577"/>
      <c r="B43" s="810" t="s">
        <v>13</v>
      </c>
      <c r="C43" s="810"/>
      <c r="D43" s="810"/>
      <c r="E43" s="810"/>
      <c r="F43" s="810"/>
      <c r="G43" s="622"/>
    </row>
    <row r="44" spans="1:7" ht="15" customHeight="1" x14ac:dyDescent="0.2">
      <c r="A44" s="577"/>
      <c r="B44" s="810" t="s">
        <v>14</v>
      </c>
      <c r="C44" s="810"/>
      <c r="D44" s="810"/>
      <c r="E44" s="810"/>
      <c r="F44" s="810"/>
      <c r="G44" s="622"/>
    </row>
    <row r="45" spans="1:7" ht="15" customHeight="1" x14ac:dyDescent="0.2">
      <c r="A45" s="577"/>
      <c r="B45" s="810" t="s">
        <v>918</v>
      </c>
      <c r="C45" s="810"/>
      <c r="D45" s="810"/>
      <c r="E45" s="810"/>
      <c r="F45" s="810"/>
      <c r="G45" s="622"/>
    </row>
    <row r="46" spans="1:7" ht="15" x14ac:dyDescent="0.25">
      <c r="A46" s="577"/>
      <c r="B46" s="492" t="s">
        <v>12</v>
      </c>
      <c r="C46" s="207" t="s">
        <v>82</v>
      </c>
      <c r="D46" s="207"/>
      <c r="E46" s="207"/>
      <c r="F46" s="207"/>
      <c r="G46" s="577"/>
    </row>
  </sheetData>
  <mergeCells count="8">
    <mergeCell ref="B43:F43"/>
    <mergeCell ref="B44:F44"/>
    <mergeCell ref="B45:F45"/>
    <mergeCell ref="A1:E1"/>
    <mergeCell ref="A2:F2"/>
    <mergeCell ref="A4:G4"/>
    <mergeCell ref="A19:G19"/>
    <mergeCell ref="E20:F20"/>
  </mergeCells>
  <hyperlinks>
    <hyperlink ref="B13" r:id="rId1" xr:uid="{00000000-0004-0000-3500-000000000000}"/>
  </hyperlink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2060"/>
    <pageSetUpPr fitToPage="1"/>
  </sheetPr>
  <dimension ref="B2:H13"/>
  <sheetViews>
    <sheetView zoomScaleSheetLayoutView="90" workbookViewId="0">
      <selection activeCell="S25" sqref="S25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1087" t="s">
        <v>743</v>
      </c>
      <c r="C4" s="1087"/>
      <c r="D4" s="1087"/>
      <c r="E4" s="1087"/>
      <c r="F4" s="1087"/>
      <c r="G4" s="1087"/>
      <c r="H4" s="1087"/>
    </row>
    <row r="5" spans="2:8" ht="12.75" customHeight="1" x14ac:dyDescent="0.2">
      <c r="B5" s="1087"/>
      <c r="C5" s="1087"/>
      <c r="D5" s="1087"/>
      <c r="E5" s="1087"/>
      <c r="F5" s="1087"/>
      <c r="G5" s="1087"/>
      <c r="H5" s="1087"/>
    </row>
    <row r="6" spans="2:8" ht="12.75" customHeight="1" x14ac:dyDescent="0.2">
      <c r="B6" s="1087"/>
      <c r="C6" s="1087"/>
      <c r="D6" s="1087"/>
      <c r="E6" s="1087"/>
      <c r="F6" s="1087"/>
      <c r="G6" s="1087"/>
      <c r="H6" s="1087"/>
    </row>
    <row r="7" spans="2:8" ht="12.75" customHeight="1" x14ac:dyDescent="0.2">
      <c r="B7" s="1087"/>
      <c r="C7" s="1087"/>
      <c r="D7" s="1087"/>
      <c r="E7" s="1087"/>
      <c r="F7" s="1087"/>
      <c r="G7" s="1087"/>
      <c r="H7" s="1087"/>
    </row>
    <row r="8" spans="2:8" ht="12.75" customHeight="1" x14ac:dyDescent="0.2">
      <c r="B8" s="1087"/>
      <c r="C8" s="1087"/>
      <c r="D8" s="1087"/>
      <c r="E8" s="1087"/>
      <c r="F8" s="1087"/>
      <c r="G8" s="1087"/>
      <c r="H8" s="1087"/>
    </row>
    <row r="9" spans="2:8" ht="12.75" customHeight="1" x14ac:dyDescent="0.2">
      <c r="B9" s="1087"/>
      <c r="C9" s="1087"/>
      <c r="D9" s="1087"/>
      <c r="E9" s="1087"/>
      <c r="F9" s="1087"/>
      <c r="G9" s="1087"/>
      <c r="H9" s="1087"/>
    </row>
    <row r="10" spans="2:8" ht="12.75" customHeight="1" x14ac:dyDescent="0.2">
      <c r="B10" s="1087"/>
      <c r="C10" s="1087"/>
      <c r="D10" s="1087"/>
      <c r="E10" s="1087"/>
      <c r="F10" s="1087"/>
      <c r="G10" s="1087"/>
      <c r="H10" s="1087"/>
    </row>
    <row r="11" spans="2:8" ht="12.75" customHeight="1" x14ac:dyDescent="0.2">
      <c r="B11" s="1087"/>
      <c r="C11" s="1087"/>
      <c r="D11" s="1087"/>
      <c r="E11" s="1087"/>
      <c r="F11" s="1087"/>
      <c r="G11" s="1087"/>
      <c r="H11" s="1087"/>
    </row>
    <row r="12" spans="2:8" ht="12.75" customHeight="1" x14ac:dyDescent="0.2">
      <c r="B12" s="1087"/>
      <c r="C12" s="1087"/>
      <c r="D12" s="1087"/>
      <c r="E12" s="1087"/>
      <c r="F12" s="1087"/>
      <c r="G12" s="1087"/>
      <c r="H12" s="1087"/>
    </row>
    <row r="13" spans="2:8" ht="12.75" customHeight="1" x14ac:dyDescent="0.2">
      <c r="B13" s="1087"/>
      <c r="C13" s="1087"/>
      <c r="D13" s="1087"/>
      <c r="E13" s="1087"/>
      <c r="F13" s="1087"/>
      <c r="G13" s="1087"/>
      <c r="H13" s="1087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  <pageSetUpPr fitToPage="1"/>
  </sheetPr>
  <dimension ref="A1:T31"/>
  <sheetViews>
    <sheetView zoomScale="90" zoomScaleNormal="90" zoomScaleSheetLayoutView="100" workbookViewId="0">
      <selection activeCell="J6" sqref="J6:L6"/>
    </sheetView>
  </sheetViews>
  <sheetFormatPr defaultRowHeight="14.25" x14ac:dyDescent="0.2"/>
  <cols>
    <col min="1" max="1" width="4.7109375" style="49" customWidth="1"/>
    <col min="2" max="2" width="16.85546875" style="49" customWidth="1"/>
    <col min="3" max="3" width="11.7109375" style="49" customWidth="1"/>
    <col min="4" max="4" width="12" style="49" customWidth="1"/>
    <col min="5" max="5" width="12.140625" style="49" customWidth="1"/>
    <col min="6" max="6" width="17.42578125" style="49" customWidth="1"/>
    <col min="7" max="7" width="12.42578125" style="49" customWidth="1"/>
    <col min="8" max="8" width="16" style="49" customWidth="1"/>
    <col min="9" max="9" width="12.7109375" style="49" customWidth="1"/>
    <col min="10" max="10" width="15" style="49" customWidth="1"/>
    <col min="11" max="11" width="16" style="49" customWidth="1"/>
    <col min="12" max="12" width="20.7109375" style="49" customWidth="1"/>
    <col min="13" max="16384" width="9.140625" style="49"/>
  </cols>
  <sheetData>
    <row r="1" spans="1:20" ht="15" customHeight="1" x14ac:dyDescent="0.25">
      <c r="C1" s="808"/>
      <c r="D1" s="808"/>
      <c r="E1" s="808"/>
      <c r="F1" s="808"/>
      <c r="G1" s="808"/>
      <c r="H1" s="808"/>
      <c r="I1" s="154"/>
      <c r="J1" s="965" t="s">
        <v>527</v>
      </c>
      <c r="K1" s="965"/>
    </row>
    <row r="2" spans="1:20" s="56" customFormat="1" ht="19.5" customHeight="1" x14ac:dyDescent="0.2">
      <c r="A2" s="1089" t="s">
        <v>0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</row>
    <row r="3" spans="1:20" s="56" customFormat="1" ht="19.5" customHeight="1" x14ac:dyDescent="0.2">
      <c r="A3" s="1088" t="s">
        <v>738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</row>
    <row r="4" spans="1:20" s="56" customFormat="1" ht="14.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20" s="56" customFormat="1" ht="18" customHeight="1" x14ac:dyDescent="0.2">
      <c r="A5" s="1012" t="s">
        <v>744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</row>
    <row r="6" spans="1:20" ht="16.5" x14ac:dyDescent="0.3">
      <c r="A6" s="197" t="s">
        <v>917</v>
      </c>
      <c r="B6" s="197" t="s">
        <v>916</v>
      </c>
      <c r="C6" s="104"/>
      <c r="D6" s="104"/>
      <c r="E6" s="104"/>
      <c r="F6" s="104"/>
      <c r="G6" s="104"/>
      <c r="H6" s="104"/>
      <c r="I6" s="104"/>
      <c r="J6" s="1093" t="s">
        <v>1186</v>
      </c>
      <c r="K6" s="1093"/>
      <c r="L6" s="1093"/>
    </row>
    <row r="7" spans="1:20" ht="29.25" customHeight="1" x14ac:dyDescent="0.2">
      <c r="A7" s="1091" t="s">
        <v>72</v>
      </c>
      <c r="B7" s="1091" t="s">
        <v>73</v>
      </c>
      <c r="C7" s="1091" t="s">
        <v>74</v>
      </c>
      <c r="D7" s="1091" t="s">
        <v>153</v>
      </c>
      <c r="E7" s="1091"/>
      <c r="F7" s="1091"/>
      <c r="G7" s="1091"/>
      <c r="H7" s="1091"/>
      <c r="I7" s="839" t="s">
        <v>234</v>
      </c>
      <c r="J7" s="1091" t="s">
        <v>75</v>
      </c>
      <c r="K7" s="1091" t="s">
        <v>474</v>
      </c>
      <c r="L7" s="1090" t="s">
        <v>76</v>
      </c>
      <c r="S7" s="55"/>
      <c r="T7" s="55"/>
    </row>
    <row r="8" spans="1:20" ht="33.75" customHeight="1" x14ac:dyDescent="0.2">
      <c r="A8" s="1091"/>
      <c r="B8" s="1091"/>
      <c r="C8" s="1091"/>
      <c r="D8" s="1091" t="s">
        <v>77</v>
      </c>
      <c r="E8" s="1091" t="s">
        <v>78</v>
      </c>
      <c r="F8" s="1091"/>
      <c r="G8" s="1091"/>
      <c r="H8" s="51" t="s">
        <v>79</v>
      </c>
      <c r="I8" s="1092"/>
      <c r="J8" s="1091"/>
      <c r="K8" s="1091"/>
      <c r="L8" s="1090"/>
    </row>
    <row r="9" spans="1:20" ht="30" x14ac:dyDescent="0.2">
      <c r="A9" s="1091"/>
      <c r="B9" s="1091"/>
      <c r="C9" s="1091"/>
      <c r="D9" s="1091"/>
      <c r="E9" s="51" t="s">
        <v>80</v>
      </c>
      <c r="F9" s="51" t="s">
        <v>81</v>
      </c>
      <c r="G9" s="51" t="s">
        <v>18</v>
      </c>
      <c r="H9" s="51"/>
      <c r="I9" s="840"/>
      <c r="J9" s="1091"/>
      <c r="K9" s="1091"/>
      <c r="L9" s="1090"/>
    </row>
    <row r="10" spans="1:20" s="143" customFormat="1" ht="17.100000000000001" customHeight="1" x14ac:dyDescent="0.2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</row>
    <row r="11" spans="1:20" ht="17.100000000000001" customHeight="1" x14ac:dyDescent="0.2">
      <c r="A11" s="58">
        <v>1</v>
      </c>
      <c r="B11" s="59" t="s">
        <v>826</v>
      </c>
      <c r="C11" s="436">
        <v>30</v>
      </c>
      <c r="D11" s="436">
        <v>0</v>
      </c>
      <c r="E11" s="436">
        <v>4</v>
      </c>
      <c r="F11" s="436">
        <v>1</v>
      </c>
      <c r="G11" s="436">
        <f>SUM(E11:F11)</f>
        <v>5</v>
      </c>
      <c r="H11" s="436">
        <f>D11+G11</f>
        <v>5</v>
      </c>
      <c r="I11" s="436">
        <f>J11</f>
        <v>25</v>
      </c>
      <c r="J11" s="436">
        <f>C11-H11</f>
        <v>25</v>
      </c>
      <c r="K11" s="436">
        <v>0</v>
      </c>
      <c r="L11" s="436"/>
    </row>
    <row r="12" spans="1:20" ht="17.100000000000001" customHeight="1" x14ac:dyDescent="0.2">
      <c r="A12" s="58">
        <v>2</v>
      </c>
      <c r="B12" s="59" t="s">
        <v>827</v>
      </c>
      <c r="C12" s="436">
        <v>31</v>
      </c>
      <c r="D12" s="436">
        <v>31</v>
      </c>
      <c r="E12" s="436">
        <v>0</v>
      </c>
      <c r="F12" s="436">
        <v>0</v>
      </c>
      <c r="G12" s="436">
        <f t="shared" ref="G12:G22" si="0">SUM(E12:F12)</f>
        <v>0</v>
      </c>
      <c r="H12" s="436">
        <f t="shared" ref="H12:H22" si="1">D12+G12</f>
        <v>31</v>
      </c>
      <c r="I12" s="436">
        <f t="shared" ref="I12:I22" si="2">J12</f>
        <v>0</v>
      </c>
      <c r="J12" s="436">
        <f t="shared" ref="J12:J22" si="3">C12-H12</f>
        <v>0</v>
      </c>
      <c r="K12" s="436">
        <v>0</v>
      </c>
      <c r="L12" s="436" t="s">
        <v>1011</v>
      </c>
    </row>
    <row r="13" spans="1:20" ht="17.100000000000001" customHeight="1" x14ac:dyDescent="0.2">
      <c r="A13" s="58">
        <v>3</v>
      </c>
      <c r="B13" s="59" t="s">
        <v>828</v>
      </c>
      <c r="C13" s="436">
        <v>30</v>
      </c>
      <c r="D13" s="436">
        <v>15</v>
      </c>
      <c r="E13" s="436">
        <v>2</v>
      </c>
      <c r="F13" s="436">
        <v>0</v>
      </c>
      <c r="G13" s="436">
        <f t="shared" si="0"/>
        <v>2</v>
      </c>
      <c r="H13" s="436">
        <f t="shared" si="1"/>
        <v>17</v>
      </c>
      <c r="I13" s="436">
        <f t="shared" si="2"/>
        <v>13</v>
      </c>
      <c r="J13" s="436">
        <f t="shared" si="3"/>
        <v>13</v>
      </c>
      <c r="K13" s="436">
        <v>0</v>
      </c>
      <c r="L13" s="436" t="s">
        <v>1011</v>
      </c>
    </row>
    <row r="14" spans="1:20" ht="17.100000000000001" customHeight="1" x14ac:dyDescent="0.2">
      <c r="A14" s="58">
        <v>4</v>
      </c>
      <c r="B14" s="59" t="s">
        <v>829</v>
      </c>
      <c r="C14" s="436">
        <v>31</v>
      </c>
      <c r="D14" s="436">
        <v>0</v>
      </c>
      <c r="E14" s="436">
        <v>4</v>
      </c>
      <c r="F14" s="436">
        <v>1</v>
      </c>
      <c r="G14" s="436">
        <f t="shared" si="0"/>
        <v>5</v>
      </c>
      <c r="H14" s="436">
        <f t="shared" si="1"/>
        <v>5</v>
      </c>
      <c r="I14" s="436">
        <f t="shared" si="2"/>
        <v>26</v>
      </c>
      <c r="J14" s="436">
        <f t="shared" si="3"/>
        <v>26</v>
      </c>
      <c r="K14" s="436">
        <v>0</v>
      </c>
      <c r="L14" s="436"/>
    </row>
    <row r="15" spans="1:20" ht="17.100000000000001" customHeight="1" x14ac:dyDescent="0.2">
      <c r="A15" s="58">
        <v>5</v>
      </c>
      <c r="B15" s="59" t="s">
        <v>830</v>
      </c>
      <c r="C15" s="436">
        <v>31</v>
      </c>
      <c r="D15" s="436">
        <v>0</v>
      </c>
      <c r="E15" s="436">
        <v>5</v>
      </c>
      <c r="F15" s="436">
        <v>6</v>
      </c>
      <c r="G15" s="436">
        <f t="shared" si="0"/>
        <v>11</v>
      </c>
      <c r="H15" s="436">
        <f t="shared" si="1"/>
        <v>11</v>
      </c>
      <c r="I15" s="436">
        <f t="shared" si="2"/>
        <v>20</v>
      </c>
      <c r="J15" s="436">
        <f t="shared" si="3"/>
        <v>20</v>
      </c>
      <c r="K15" s="436">
        <v>0</v>
      </c>
      <c r="L15" s="436"/>
    </row>
    <row r="16" spans="1:20" s="57" customFormat="1" ht="17.100000000000001" customHeight="1" x14ac:dyDescent="0.2">
      <c r="A16" s="58">
        <v>6</v>
      </c>
      <c r="B16" s="59" t="s">
        <v>831</v>
      </c>
      <c r="C16" s="542">
        <v>30</v>
      </c>
      <c r="D16" s="542">
        <v>0</v>
      </c>
      <c r="E16" s="542">
        <v>4</v>
      </c>
      <c r="F16" s="542">
        <v>0</v>
      </c>
      <c r="G16" s="436">
        <f t="shared" si="0"/>
        <v>4</v>
      </c>
      <c r="H16" s="436">
        <f t="shared" si="1"/>
        <v>4</v>
      </c>
      <c r="I16" s="436">
        <f t="shared" si="2"/>
        <v>26</v>
      </c>
      <c r="J16" s="436">
        <f t="shared" si="3"/>
        <v>26</v>
      </c>
      <c r="K16" s="436">
        <v>0</v>
      </c>
      <c r="L16" s="542"/>
    </row>
    <row r="17" spans="1:12" s="57" customFormat="1" ht="17.100000000000001" customHeight="1" x14ac:dyDescent="0.2">
      <c r="A17" s="58">
        <v>7</v>
      </c>
      <c r="B17" s="59" t="s">
        <v>832</v>
      </c>
      <c r="C17" s="542">
        <v>31</v>
      </c>
      <c r="D17" s="542">
        <v>0</v>
      </c>
      <c r="E17" s="542">
        <v>4</v>
      </c>
      <c r="F17" s="542">
        <v>3</v>
      </c>
      <c r="G17" s="436">
        <f t="shared" si="0"/>
        <v>7</v>
      </c>
      <c r="H17" s="436">
        <f t="shared" si="1"/>
        <v>7</v>
      </c>
      <c r="I17" s="436">
        <f t="shared" si="2"/>
        <v>24</v>
      </c>
      <c r="J17" s="436">
        <f t="shared" si="3"/>
        <v>24</v>
      </c>
      <c r="K17" s="436">
        <v>0</v>
      </c>
      <c r="L17" s="542"/>
    </row>
    <row r="18" spans="1:12" s="57" customFormat="1" ht="17.100000000000001" customHeight="1" x14ac:dyDescent="0.2">
      <c r="A18" s="58">
        <v>8</v>
      </c>
      <c r="B18" s="59" t="s">
        <v>833</v>
      </c>
      <c r="C18" s="542">
        <v>30</v>
      </c>
      <c r="D18" s="542">
        <v>4</v>
      </c>
      <c r="E18" s="542">
        <v>4</v>
      </c>
      <c r="F18" s="542">
        <v>2</v>
      </c>
      <c r="G18" s="436">
        <f t="shared" si="0"/>
        <v>6</v>
      </c>
      <c r="H18" s="436">
        <f t="shared" si="1"/>
        <v>10</v>
      </c>
      <c r="I18" s="436">
        <f t="shared" si="2"/>
        <v>20</v>
      </c>
      <c r="J18" s="436">
        <f t="shared" si="3"/>
        <v>20</v>
      </c>
      <c r="K18" s="436">
        <v>0</v>
      </c>
      <c r="L18" s="542" t="s">
        <v>1009</v>
      </c>
    </row>
    <row r="19" spans="1:12" s="57" customFormat="1" ht="17.100000000000001" customHeight="1" x14ac:dyDescent="0.2">
      <c r="A19" s="58">
        <v>9</v>
      </c>
      <c r="B19" s="59" t="s">
        <v>834</v>
      </c>
      <c r="C19" s="542">
        <v>31</v>
      </c>
      <c r="D19" s="542">
        <v>4</v>
      </c>
      <c r="E19" s="542">
        <v>3</v>
      </c>
      <c r="F19" s="542">
        <v>2</v>
      </c>
      <c r="G19" s="436">
        <f t="shared" si="0"/>
        <v>5</v>
      </c>
      <c r="H19" s="436">
        <f t="shared" si="1"/>
        <v>9</v>
      </c>
      <c r="I19" s="436">
        <f t="shared" si="2"/>
        <v>22</v>
      </c>
      <c r="J19" s="436">
        <f t="shared" si="3"/>
        <v>22</v>
      </c>
      <c r="K19" s="436">
        <v>0</v>
      </c>
      <c r="L19" s="542" t="s">
        <v>1010</v>
      </c>
    </row>
    <row r="20" spans="1:12" s="57" customFormat="1" ht="17.100000000000001" customHeight="1" x14ac:dyDescent="0.2">
      <c r="A20" s="58">
        <v>10</v>
      </c>
      <c r="B20" s="59" t="s">
        <v>835</v>
      </c>
      <c r="C20" s="542">
        <v>31</v>
      </c>
      <c r="D20" s="542">
        <v>0</v>
      </c>
      <c r="E20" s="542">
        <v>5</v>
      </c>
      <c r="F20" s="542">
        <v>2</v>
      </c>
      <c r="G20" s="436">
        <f t="shared" si="0"/>
        <v>7</v>
      </c>
      <c r="H20" s="436">
        <f t="shared" si="1"/>
        <v>7</v>
      </c>
      <c r="I20" s="436">
        <f t="shared" si="2"/>
        <v>24</v>
      </c>
      <c r="J20" s="436">
        <f t="shared" si="3"/>
        <v>24</v>
      </c>
      <c r="K20" s="436">
        <v>0</v>
      </c>
      <c r="L20" s="542"/>
    </row>
    <row r="21" spans="1:12" s="57" customFormat="1" ht="17.100000000000001" customHeight="1" x14ac:dyDescent="0.2">
      <c r="A21" s="58">
        <v>11</v>
      </c>
      <c r="B21" s="59" t="s">
        <v>836</v>
      </c>
      <c r="C21" s="542">
        <v>28</v>
      </c>
      <c r="D21" s="542">
        <v>0</v>
      </c>
      <c r="E21" s="542">
        <v>4</v>
      </c>
      <c r="F21" s="542">
        <v>2</v>
      </c>
      <c r="G21" s="436">
        <f t="shared" si="0"/>
        <v>6</v>
      </c>
      <c r="H21" s="436">
        <f t="shared" si="1"/>
        <v>6</v>
      </c>
      <c r="I21" s="436">
        <f>J21</f>
        <v>22</v>
      </c>
      <c r="J21" s="436">
        <f t="shared" si="3"/>
        <v>22</v>
      </c>
      <c r="K21" s="436">
        <v>0</v>
      </c>
      <c r="L21" s="542"/>
    </row>
    <row r="22" spans="1:12" s="57" customFormat="1" ht="17.100000000000001" customHeight="1" x14ac:dyDescent="0.2">
      <c r="A22" s="58">
        <v>12</v>
      </c>
      <c r="B22" s="59" t="s">
        <v>837</v>
      </c>
      <c r="C22" s="542">
        <v>31</v>
      </c>
      <c r="D22" s="542">
        <v>0</v>
      </c>
      <c r="E22" s="542">
        <v>4</v>
      </c>
      <c r="F22" s="542">
        <v>3</v>
      </c>
      <c r="G22" s="436">
        <f t="shared" si="0"/>
        <v>7</v>
      </c>
      <c r="H22" s="436">
        <f t="shared" si="1"/>
        <v>7</v>
      </c>
      <c r="I22" s="436">
        <f t="shared" si="2"/>
        <v>24</v>
      </c>
      <c r="J22" s="436">
        <f t="shared" si="3"/>
        <v>24</v>
      </c>
      <c r="K22" s="436">
        <v>0</v>
      </c>
      <c r="L22" s="542"/>
    </row>
    <row r="23" spans="1:12" s="57" customFormat="1" ht="17.100000000000001" customHeight="1" x14ac:dyDescent="0.2">
      <c r="A23" s="59"/>
      <c r="B23" s="60" t="s">
        <v>18</v>
      </c>
      <c r="C23" s="542">
        <f>SUM(C11:C22)</f>
        <v>365</v>
      </c>
      <c r="D23" s="542">
        <f t="shared" ref="D23:K23" si="4">SUM(D11:D22)</f>
        <v>54</v>
      </c>
      <c r="E23" s="542">
        <f t="shared" si="4"/>
        <v>43</v>
      </c>
      <c r="F23" s="542">
        <f t="shared" si="4"/>
        <v>22</v>
      </c>
      <c r="G23" s="542">
        <f t="shared" si="4"/>
        <v>65</v>
      </c>
      <c r="H23" s="542">
        <f t="shared" si="4"/>
        <v>119</v>
      </c>
      <c r="I23" s="542">
        <f t="shared" si="4"/>
        <v>246</v>
      </c>
      <c r="J23" s="542">
        <f t="shared" si="4"/>
        <v>246</v>
      </c>
      <c r="K23" s="542">
        <f t="shared" si="4"/>
        <v>0</v>
      </c>
      <c r="L23" s="542"/>
    </row>
    <row r="24" spans="1:12" s="57" customFormat="1" ht="11.25" customHeight="1" x14ac:dyDescent="0.2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2" ht="15" x14ac:dyDescent="0.25">
      <c r="A25" s="54" t="s">
        <v>104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2" ht="1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2" s="490" customFormat="1" ht="15" x14ac:dyDescent="0.25">
      <c r="A27" s="492"/>
      <c r="B27" s="492"/>
      <c r="C27" s="492"/>
      <c r="D27" s="492"/>
      <c r="E27" s="492"/>
      <c r="F27" s="492"/>
      <c r="G27" s="492"/>
      <c r="H27" s="492"/>
      <c r="I27" s="492"/>
      <c r="J27" s="492"/>
    </row>
    <row r="28" spans="1:12" s="490" customFormat="1" ht="15" x14ac:dyDescent="0.25">
      <c r="A28" s="492"/>
      <c r="B28" s="492"/>
      <c r="C28" s="492"/>
      <c r="D28" s="492"/>
      <c r="E28" s="492"/>
      <c r="F28" s="492"/>
      <c r="G28" s="492"/>
      <c r="H28" s="810" t="s">
        <v>13</v>
      </c>
      <c r="I28" s="810"/>
      <c r="J28" s="810"/>
      <c r="K28" s="810"/>
      <c r="L28" s="810"/>
    </row>
    <row r="29" spans="1:12" s="490" customFormat="1" ht="15" x14ac:dyDescent="0.2">
      <c r="A29" s="543"/>
      <c r="B29" s="543"/>
      <c r="C29" s="543"/>
      <c r="D29" s="543"/>
      <c r="E29" s="543"/>
      <c r="F29" s="543"/>
      <c r="G29" s="543"/>
      <c r="H29" s="810" t="s">
        <v>14</v>
      </c>
      <c r="I29" s="810"/>
      <c r="J29" s="810"/>
      <c r="K29" s="810"/>
      <c r="L29" s="810"/>
    </row>
    <row r="30" spans="1:12" s="490" customFormat="1" ht="15" x14ac:dyDescent="0.2">
      <c r="A30" s="543"/>
      <c r="B30" s="543"/>
      <c r="C30" s="543"/>
      <c r="D30" s="543"/>
      <c r="E30" s="543"/>
      <c r="F30" s="543"/>
      <c r="G30" s="543"/>
      <c r="H30" s="810" t="s">
        <v>918</v>
      </c>
      <c r="I30" s="810"/>
      <c r="J30" s="810"/>
      <c r="K30" s="810"/>
      <c r="L30" s="810"/>
    </row>
    <row r="31" spans="1:12" s="490" customFormat="1" ht="15" x14ac:dyDescent="0.25">
      <c r="A31" s="492" t="s">
        <v>12</v>
      </c>
      <c r="B31" s="492"/>
      <c r="C31" s="492"/>
      <c r="E31" s="492"/>
      <c r="F31" s="492"/>
      <c r="G31" s="492"/>
      <c r="H31" s="657"/>
      <c r="I31" s="207" t="s">
        <v>82</v>
      </c>
      <c r="J31" s="207"/>
      <c r="K31" s="207"/>
      <c r="L31" s="207"/>
    </row>
  </sheetData>
  <mergeCells count="19">
    <mergeCell ref="J7:J9"/>
    <mergeCell ref="K7:K9"/>
    <mergeCell ref="J6:L6"/>
    <mergeCell ref="H28:L28"/>
    <mergeCell ref="H29:L29"/>
    <mergeCell ref="H30:L30"/>
    <mergeCell ref="C1:H1"/>
    <mergeCell ref="J1:K1"/>
    <mergeCell ref="A3:K3"/>
    <mergeCell ref="A2:K2"/>
    <mergeCell ref="L7:L9"/>
    <mergeCell ref="D8:D9"/>
    <mergeCell ref="E8:G8"/>
    <mergeCell ref="I7:I9"/>
    <mergeCell ref="A5:K5"/>
    <mergeCell ref="A7:A9"/>
    <mergeCell ref="B7:B9"/>
    <mergeCell ref="C7:C9"/>
    <mergeCell ref="D7:H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pageSetUpPr fitToPage="1"/>
  </sheetPr>
  <dimension ref="A1:S32"/>
  <sheetViews>
    <sheetView topLeftCell="A4" zoomScaleSheetLayoutView="100" workbookViewId="0">
      <selection activeCell="L16" sqref="L16"/>
    </sheetView>
  </sheetViews>
  <sheetFormatPr defaultRowHeight="14.25" x14ac:dyDescent="0.2"/>
  <cols>
    <col min="1" max="1" width="4.7109375" style="49" customWidth="1"/>
    <col min="2" max="2" width="14.7109375" style="49" customWidth="1"/>
    <col min="3" max="3" width="11.7109375" style="49" customWidth="1"/>
    <col min="4" max="4" width="12" style="49" customWidth="1"/>
    <col min="5" max="5" width="11.85546875" style="49" customWidth="1"/>
    <col min="6" max="6" width="18.85546875" style="49" customWidth="1"/>
    <col min="7" max="7" width="10.140625" style="49" customWidth="1"/>
    <col min="8" max="8" width="14.7109375" style="49" customWidth="1"/>
    <col min="9" max="9" width="15.28515625" style="49" customWidth="1"/>
    <col min="10" max="10" width="14.7109375" style="49" customWidth="1"/>
    <col min="11" max="11" width="11.85546875" style="49" customWidth="1"/>
    <col min="12" max="12" width="20.140625" style="49" customWidth="1"/>
    <col min="13" max="16384" width="9.140625" style="49"/>
  </cols>
  <sheetData>
    <row r="1" spans="1:19" ht="15" customHeight="1" x14ac:dyDescent="0.25">
      <c r="C1" s="808"/>
      <c r="D1" s="808"/>
      <c r="E1" s="808"/>
      <c r="F1" s="808"/>
      <c r="G1" s="808"/>
      <c r="H1" s="808"/>
      <c r="I1" s="154"/>
      <c r="J1" s="41" t="s">
        <v>528</v>
      </c>
    </row>
    <row r="2" spans="1:19" s="56" customFormat="1" ht="19.5" customHeight="1" x14ac:dyDescent="0.2">
      <c r="A2" s="1089" t="s">
        <v>0</v>
      </c>
      <c r="B2" s="1089"/>
      <c r="C2" s="1089"/>
      <c r="D2" s="1089"/>
      <c r="E2" s="1089"/>
      <c r="F2" s="1089"/>
      <c r="G2" s="1089"/>
      <c r="H2" s="1089"/>
      <c r="I2" s="1089"/>
      <c r="J2" s="1089"/>
    </row>
    <row r="3" spans="1:19" s="56" customFormat="1" ht="19.5" customHeight="1" x14ac:dyDescent="0.2">
      <c r="A3" s="1088" t="s">
        <v>738</v>
      </c>
      <c r="B3" s="1088"/>
      <c r="C3" s="1088"/>
      <c r="D3" s="1088"/>
      <c r="E3" s="1088"/>
      <c r="F3" s="1088"/>
      <c r="G3" s="1088"/>
      <c r="H3" s="1088"/>
      <c r="I3" s="1088"/>
      <c r="J3" s="1088"/>
    </row>
    <row r="4" spans="1:19" s="56" customFormat="1" ht="14.2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9" s="56" customFormat="1" ht="18" customHeight="1" x14ac:dyDescent="0.2">
      <c r="A5" s="1012" t="s">
        <v>745</v>
      </c>
      <c r="B5" s="1012"/>
      <c r="C5" s="1012"/>
      <c r="D5" s="1012"/>
      <c r="E5" s="1012"/>
      <c r="F5" s="1012"/>
      <c r="G5" s="1012"/>
      <c r="H5" s="1012"/>
      <c r="I5" s="1012"/>
      <c r="J5" s="1012"/>
    </row>
    <row r="6" spans="1:19" ht="16.5" x14ac:dyDescent="0.3">
      <c r="A6" s="197" t="s">
        <v>917</v>
      </c>
      <c r="B6" s="197" t="s">
        <v>916</v>
      </c>
      <c r="C6" s="129"/>
      <c r="D6" s="129"/>
      <c r="E6" s="129"/>
      <c r="F6" s="129"/>
      <c r="G6" s="129"/>
      <c r="H6" s="129"/>
      <c r="I6" s="152"/>
      <c r="J6" s="152" t="s">
        <v>1186</v>
      </c>
    </row>
    <row r="7" spans="1:19" ht="29.25" customHeight="1" x14ac:dyDescent="0.2">
      <c r="A7" s="1091" t="s">
        <v>72</v>
      </c>
      <c r="B7" s="1091" t="s">
        <v>73</v>
      </c>
      <c r="C7" s="1091" t="s">
        <v>74</v>
      </c>
      <c r="D7" s="1091" t="s">
        <v>154</v>
      </c>
      <c r="E7" s="1091"/>
      <c r="F7" s="1091"/>
      <c r="G7" s="1091"/>
      <c r="H7" s="1091"/>
      <c r="I7" s="839" t="s">
        <v>234</v>
      </c>
      <c r="J7" s="1091" t="s">
        <v>75</v>
      </c>
      <c r="K7" s="1091" t="s">
        <v>474</v>
      </c>
      <c r="L7" s="1090" t="s">
        <v>76</v>
      </c>
    </row>
    <row r="8" spans="1:19" ht="34.15" customHeight="1" x14ac:dyDescent="0.2">
      <c r="A8" s="1091"/>
      <c r="B8" s="1091"/>
      <c r="C8" s="1091"/>
      <c r="D8" s="1091" t="s">
        <v>77</v>
      </c>
      <c r="E8" s="1091" t="s">
        <v>78</v>
      </c>
      <c r="F8" s="1091"/>
      <c r="G8" s="1091"/>
      <c r="H8" s="839" t="s">
        <v>79</v>
      </c>
      <c r="I8" s="1092"/>
      <c r="J8" s="1091"/>
      <c r="K8" s="1091"/>
      <c r="L8" s="1090"/>
      <c r="R8" s="55"/>
      <c r="S8" s="55"/>
    </row>
    <row r="9" spans="1:19" ht="33.75" customHeight="1" x14ac:dyDescent="0.2">
      <c r="A9" s="1091"/>
      <c r="B9" s="1091"/>
      <c r="C9" s="1091"/>
      <c r="D9" s="1091"/>
      <c r="E9" s="51" t="s">
        <v>80</v>
      </c>
      <c r="F9" s="51" t="s">
        <v>81</v>
      </c>
      <c r="G9" s="51" t="s">
        <v>18</v>
      </c>
      <c r="H9" s="840"/>
      <c r="I9" s="840"/>
      <c r="J9" s="1091"/>
      <c r="K9" s="1091"/>
      <c r="L9" s="1090"/>
    </row>
    <row r="10" spans="1:19" s="57" customFormat="1" ht="17.100000000000001" customHeight="1" x14ac:dyDescent="0.2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04">
        <v>11</v>
      </c>
      <c r="L10" s="504">
        <v>12</v>
      </c>
    </row>
    <row r="11" spans="1:19" ht="17.100000000000001" customHeight="1" x14ac:dyDescent="0.2">
      <c r="A11" s="58">
        <v>1</v>
      </c>
      <c r="B11" s="59" t="s">
        <v>826</v>
      </c>
      <c r="C11" s="436">
        <v>30</v>
      </c>
      <c r="D11" s="436">
        <v>0</v>
      </c>
      <c r="E11" s="436">
        <v>4</v>
      </c>
      <c r="F11" s="436">
        <v>1</v>
      </c>
      <c r="G11" s="436">
        <f>SUM(E11:F11)</f>
        <v>5</v>
      </c>
      <c r="H11" s="436">
        <f>D11+G11</f>
        <v>5</v>
      </c>
      <c r="I11" s="436">
        <f>J11</f>
        <v>25</v>
      </c>
      <c r="J11" s="436">
        <f>C11-H11</f>
        <v>25</v>
      </c>
      <c r="K11" s="436">
        <v>0</v>
      </c>
      <c r="L11" s="436"/>
    </row>
    <row r="12" spans="1:19" ht="17.100000000000001" customHeight="1" x14ac:dyDescent="0.2">
      <c r="A12" s="58">
        <v>2</v>
      </c>
      <c r="B12" s="59" t="s">
        <v>827</v>
      </c>
      <c r="C12" s="436">
        <v>31</v>
      </c>
      <c r="D12" s="436">
        <v>31</v>
      </c>
      <c r="E12" s="436">
        <v>0</v>
      </c>
      <c r="F12" s="436">
        <v>0</v>
      </c>
      <c r="G12" s="436">
        <f t="shared" ref="G12:G22" si="0">SUM(E12:F12)</f>
        <v>0</v>
      </c>
      <c r="H12" s="436">
        <f t="shared" ref="H12:H22" si="1">D12+G12</f>
        <v>31</v>
      </c>
      <c r="I12" s="436">
        <f t="shared" ref="I12:I22" si="2">J12</f>
        <v>0</v>
      </c>
      <c r="J12" s="436">
        <f t="shared" ref="J12:J22" si="3">C12-H12</f>
        <v>0</v>
      </c>
      <c r="K12" s="436">
        <v>0</v>
      </c>
      <c r="L12" s="436" t="s">
        <v>1011</v>
      </c>
    </row>
    <row r="13" spans="1:19" ht="17.100000000000001" customHeight="1" x14ac:dyDescent="0.2">
      <c r="A13" s="58">
        <v>3</v>
      </c>
      <c r="B13" s="59" t="s">
        <v>828</v>
      </c>
      <c r="C13" s="436">
        <v>30</v>
      </c>
      <c r="D13" s="436">
        <v>15</v>
      </c>
      <c r="E13" s="436">
        <v>2</v>
      </c>
      <c r="F13" s="436">
        <v>0</v>
      </c>
      <c r="G13" s="436">
        <f t="shared" si="0"/>
        <v>2</v>
      </c>
      <c r="H13" s="436">
        <f t="shared" si="1"/>
        <v>17</v>
      </c>
      <c r="I13" s="436">
        <f t="shared" si="2"/>
        <v>13</v>
      </c>
      <c r="J13" s="436">
        <f t="shared" si="3"/>
        <v>13</v>
      </c>
      <c r="K13" s="436">
        <v>0</v>
      </c>
      <c r="L13" s="436" t="s">
        <v>1011</v>
      </c>
    </row>
    <row r="14" spans="1:19" ht="17.100000000000001" customHeight="1" x14ac:dyDescent="0.2">
      <c r="A14" s="58">
        <v>4</v>
      </c>
      <c r="B14" s="59" t="s">
        <v>829</v>
      </c>
      <c r="C14" s="436">
        <v>31</v>
      </c>
      <c r="D14" s="436">
        <v>0</v>
      </c>
      <c r="E14" s="436">
        <v>4</v>
      </c>
      <c r="F14" s="436">
        <v>1</v>
      </c>
      <c r="G14" s="436">
        <f t="shared" si="0"/>
        <v>5</v>
      </c>
      <c r="H14" s="436">
        <f t="shared" si="1"/>
        <v>5</v>
      </c>
      <c r="I14" s="436">
        <f t="shared" si="2"/>
        <v>26</v>
      </c>
      <c r="J14" s="436">
        <f t="shared" si="3"/>
        <v>26</v>
      </c>
      <c r="K14" s="436">
        <v>0</v>
      </c>
      <c r="L14" s="436"/>
    </row>
    <row r="15" spans="1:19" ht="17.100000000000001" customHeight="1" x14ac:dyDescent="0.2">
      <c r="A15" s="58">
        <v>5</v>
      </c>
      <c r="B15" s="59" t="s">
        <v>830</v>
      </c>
      <c r="C15" s="436">
        <v>31</v>
      </c>
      <c r="D15" s="436">
        <v>0</v>
      </c>
      <c r="E15" s="436">
        <v>5</v>
      </c>
      <c r="F15" s="436">
        <v>6</v>
      </c>
      <c r="G15" s="436">
        <f t="shared" si="0"/>
        <v>11</v>
      </c>
      <c r="H15" s="436">
        <f t="shared" si="1"/>
        <v>11</v>
      </c>
      <c r="I15" s="436">
        <f t="shared" si="2"/>
        <v>20</v>
      </c>
      <c r="J15" s="436">
        <f t="shared" si="3"/>
        <v>20</v>
      </c>
      <c r="K15" s="436">
        <v>0</v>
      </c>
      <c r="L15" s="436"/>
    </row>
    <row r="16" spans="1:19" s="57" customFormat="1" ht="17.100000000000001" customHeight="1" x14ac:dyDescent="0.2">
      <c r="A16" s="58">
        <v>6</v>
      </c>
      <c r="B16" s="59" t="s">
        <v>831</v>
      </c>
      <c r="C16" s="542">
        <v>30</v>
      </c>
      <c r="D16" s="542">
        <v>0</v>
      </c>
      <c r="E16" s="542">
        <v>4</v>
      </c>
      <c r="F16" s="542">
        <v>0</v>
      </c>
      <c r="G16" s="436">
        <f t="shared" si="0"/>
        <v>4</v>
      </c>
      <c r="H16" s="436">
        <f t="shared" si="1"/>
        <v>4</v>
      </c>
      <c r="I16" s="436">
        <f t="shared" si="2"/>
        <v>26</v>
      </c>
      <c r="J16" s="436">
        <f t="shared" si="3"/>
        <v>26</v>
      </c>
      <c r="K16" s="436">
        <v>0</v>
      </c>
      <c r="L16" s="542"/>
    </row>
    <row r="17" spans="1:12" s="57" customFormat="1" ht="17.100000000000001" customHeight="1" x14ac:dyDescent="0.2">
      <c r="A17" s="58">
        <v>7</v>
      </c>
      <c r="B17" s="59" t="s">
        <v>832</v>
      </c>
      <c r="C17" s="542">
        <v>31</v>
      </c>
      <c r="D17" s="542">
        <v>0</v>
      </c>
      <c r="E17" s="542">
        <v>4</v>
      </c>
      <c r="F17" s="542">
        <v>3</v>
      </c>
      <c r="G17" s="436">
        <f t="shared" si="0"/>
        <v>7</v>
      </c>
      <c r="H17" s="436">
        <f t="shared" si="1"/>
        <v>7</v>
      </c>
      <c r="I17" s="436">
        <f t="shared" si="2"/>
        <v>24</v>
      </c>
      <c r="J17" s="436">
        <f t="shared" si="3"/>
        <v>24</v>
      </c>
      <c r="K17" s="436">
        <v>0</v>
      </c>
      <c r="L17" s="542"/>
    </row>
    <row r="18" spans="1:12" s="57" customFormat="1" ht="17.100000000000001" customHeight="1" x14ac:dyDescent="0.2">
      <c r="A18" s="58">
        <v>8</v>
      </c>
      <c r="B18" s="59" t="s">
        <v>833</v>
      </c>
      <c r="C18" s="542">
        <v>30</v>
      </c>
      <c r="D18" s="542">
        <v>4</v>
      </c>
      <c r="E18" s="542">
        <v>4</v>
      </c>
      <c r="F18" s="542">
        <v>2</v>
      </c>
      <c r="G18" s="436">
        <f t="shared" si="0"/>
        <v>6</v>
      </c>
      <c r="H18" s="436">
        <f t="shared" si="1"/>
        <v>10</v>
      </c>
      <c r="I18" s="436">
        <f t="shared" si="2"/>
        <v>20</v>
      </c>
      <c r="J18" s="436">
        <f t="shared" si="3"/>
        <v>20</v>
      </c>
      <c r="K18" s="436">
        <v>0</v>
      </c>
      <c r="L18" s="542" t="s">
        <v>1009</v>
      </c>
    </row>
    <row r="19" spans="1:12" s="57" customFormat="1" ht="17.100000000000001" customHeight="1" x14ac:dyDescent="0.2">
      <c r="A19" s="58">
        <v>9</v>
      </c>
      <c r="B19" s="59" t="s">
        <v>834</v>
      </c>
      <c r="C19" s="542">
        <v>31</v>
      </c>
      <c r="D19" s="542">
        <v>4</v>
      </c>
      <c r="E19" s="542">
        <v>3</v>
      </c>
      <c r="F19" s="542">
        <v>2</v>
      </c>
      <c r="G19" s="436">
        <f t="shared" si="0"/>
        <v>5</v>
      </c>
      <c r="H19" s="436">
        <f t="shared" si="1"/>
        <v>9</v>
      </c>
      <c r="I19" s="436">
        <f t="shared" si="2"/>
        <v>22</v>
      </c>
      <c r="J19" s="436">
        <f t="shared" si="3"/>
        <v>22</v>
      </c>
      <c r="K19" s="436">
        <v>0</v>
      </c>
      <c r="L19" s="542" t="s">
        <v>1010</v>
      </c>
    </row>
    <row r="20" spans="1:12" s="57" customFormat="1" ht="17.100000000000001" customHeight="1" x14ac:dyDescent="0.2">
      <c r="A20" s="58">
        <v>10</v>
      </c>
      <c r="B20" s="59" t="s">
        <v>835</v>
      </c>
      <c r="C20" s="542">
        <v>31</v>
      </c>
      <c r="D20" s="542">
        <v>0</v>
      </c>
      <c r="E20" s="542">
        <v>5</v>
      </c>
      <c r="F20" s="542">
        <v>2</v>
      </c>
      <c r="G20" s="436">
        <f t="shared" si="0"/>
        <v>7</v>
      </c>
      <c r="H20" s="436">
        <f t="shared" si="1"/>
        <v>7</v>
      </c>
      <c r="I20" s="436">
        <f t="shared" si="2"/>
        <v>24</v>
      </c>
      <c r="J20" s="436">
        <f t="shared" si="3"/>
        <v>24</v>
      </c>
      <c r="K20" s="436">
        <v>0</v>
      </c>
      <c r="L20" s="542"/>
    </row>
    <row r="21" spans="1:12" s="57" customFormat="1" ht="17.100000000000001" customHeight="1" x14ac:dyDescent="0.2">
      <c r="A21" s="58">
        <v>11</v>
      </c>
      <c r="B21" s="59" t="s">
        <v>836</v>
      </c>
      <c r="C21" s="542">
        <v>28</v>
      </c>
      <c r="D21" s="542">
        <v>0</v>
      </c>
      <c r="E21" s="542">
        <v>4</v>
      </c>
      <c r="F21" s="542">
        <v>2</v>
      </c>
      <c r="G21" s="436">
        <f t="shared" si="0"/>
        <v>6</v>
      </c>
      <c r="H21" s="436">
        <f t="shared" si="1"/>
        <v>6</v>
      </c>
      <c r="I21" s="436">
        <f>J21</f>
        <v>22</v>
      </c>
      <c r="J21" s="436">
        <f t="shared" si="3"/>
        <v>22</v>
      </c>
      <c r="K21" s="436">
        <v>0</v>
      </c>
      <c r="L21" s="542"/>
    </row>
    <row r="22" spans="1:12" s="57" customFormat="1" ht="17.100000000000001" customHeight="1" x14ac:dyDescent="0.2">
      <c r="A22" s="58">
        <v>12</v>
      </c>
      <c r="B22" s="59" t="s">
        <v>837</v>
      </c>
      <c r="C22" s="542">
        <v>31</v>
      </c>
      <c r="D22" s="542">
        <v>0</v>
      </c>
      <c r="E22" s="542">
        <v>4</v>
      </c>
      <c r="F22" s="542">
        <v>3</v>
      </c>
      <c r="G22" s="436">
        <f t="shared" si="0"/>
        <v>7</v>
      </c>
      <c r="H22" s="436">
        <f t="shared" si="1"/>
        <v>7</v>
      </c>
      <c r="I22" s="436">
        <f t="shared" si="2"/>
        <v>24</v>
      </c>
      <c r="J22" s="436">
        <f t="shared" si="3"/>
        <v>24</v>
      </c>
      <c r="K22" s="436">
        <v>0</v>
      </c>
      <c r="L22" s="542"/>
    </row>
    <row r="23" spans="1:12" s="57" customFormat="1" ht="17.100000000000001" customHeight="1" x14ac:dyDescent="0.2">
      <c r="A23" s="59"/>
      <c r="B23" s="60" t="s">
        <v>18</v>
      </c>
      <c r="C23" s="542">
        <f>SUM(C11:C22)</f>
        <v>365</v>
      </c>
      <c r="D23" s="542">
        <f t="shared" ref="D23:K23" si="4">SUM(D11:D22)</f>
        <v>54</v>
      </c>
      <c r="E23" s="542">
        <f t="shared" si="4"/>
        <v>43</v>
      </c>
      <c r="F23" s="542">
        <f t="shared" si="4"/>
        <v>22</v>
      </c>
      <c r="G23" s="542">
        <f t="shared" si="4"/>
        <v>65</v>
      </c>
      <c r="H23" s="542">
        <f t="shared" si="4"/>
        <v>119</v>
      </c>
      <c r="I23" s="542">
        <f t="shared" si="4"/>
        <v>246</v>
      </c>
      <c r="J23" s="542">
        <f t="shared" si="4"/>
        <v>246</v>
      </c>
      <c r="K23" s="542">
        <f t="shared" si="4"/>
        <v>0</v>
      </c>
      <c r="L23" s="542"/>
    </row>
    <row r="24" spans="1:12" s="57" customFormat="1" ht="11.25" customHeight="1" x14ac:dyDescent="0.2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2" ht="15" x14ac:dyDescent="0.25">
      <c r="A25" s="54" t="s">
        <v>104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2" ht="1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2" ht="15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2" x14ac:dyDescent="0.2">
      <c r="H28" s="810" t="s">
        <v>13</v>
      </c>
      <c r="I28" s="810"/>
      <c r="J28" s="810"/>
      <c r="K28" s="810"/>
      <c r="L28" s="810"/>
    </row>
    <row r="29" spans="1:12" ht="15" x14ac:dyDescent="0.25">
      <c r="A29" s="492"/>
      <c r="B29" s="492"/>
      <c r="C29" s="492"/>
      <c r="D29" s="492"/>
      <c r="E29" s="492"/>
      <c r="F29" s="492"/>
      <c r="G29" s="492"/>
      <c r="H29" s="810" t="s">
        <v>14</v>
      </c>
      <c r="I29" s="810"/>
      <c r="J29" s="810"/>
      <c r="K29" s="810"/>
      <c r="L29" s="810"/>
    </row>
    <row r="30" spans="1:12" ht="15" customHeight="1" x14ac:dyDescent="0.2">
      <c r="A30" s="543"/>
      <c r="B30" s="543"/>
      <c r="C30" s="543"/>
      <c r="D30" s="543"/>
      <c r="E30" s="543"/>
      <c r="F30" s="543"/>
      <c r="G30" s="543"/>
      <c r="H30" s="810" t="s">
        <v>918</v>
      </c>
      <c r="I30" s="810"/>
      <c r="J30" s="810"/>
      <c r="K30" s="810"/>
      <c r="L30" s="810"/>
    </row>
    <row r="31" spans="1:12" ht="15" customHeight="1" x14ac:dyDescent="0.25">
      <c r="A31" s="492" t="s">
        <v>12</v>
      </c>
      <c r="B31" s="543"/>
      <c r="C31" s="543"/>
      <c r="D31" s="543"/>
      <c r="E31" s="543"/>
      <c r="F31" s="543"/>
      <c r="G31" s="543"/>
      <c r="H31" s="657"/>
      <c r="I31" s="207" t="s">
        <v>82</v>
      </c>
      <c r="J31" s="207"/>
      <c r="K31" s="207"/>
      <c r="L31" s="207"/>
    </row>
    <row r="32" spans="1:12" ht="15" x14ac:dyDescent="0.25">
      <c r="A32" s="492"/>
      <c r="B32" s="492"/>
      <c r="C32" s="492"/>
      <c r="D32" s="492"/>
      <c r="E32" s="492"/>
      <c r="F32" s="492"/>
      <c r="G32" s="492"/>
      <c r="H32" s="492"/>
      <c r="I32" s="492"/>
      <c r="J32" s="492"/>
      <c r="K32" s="490"/>
    </row>
  </sheetData>
  <mergeCells count="18">
    <mergeCell ref="H28:L28"/>
    <mergeCell ref="H29:L29"/>
    <mergeCell ref="H30:L30"/>
    <mergeCell ref="C1:H1"/>
    <mergeCell ref="A2:J2"/>
    <mergeCell ref="A3:J3"/>
    <mergeCell ref="A5:J5"/>
    <mergeCell ref="L7:L9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  <pageSetUpPr fitToPage="1"/>
  </sheetPr>
  <dimension ref="A1:CH366"/>
  <sheetViews>
    <sheetView topLeftCell="A3" zoomScale="70" zoomScaleNormal="70" zoomScaleSheetLayoutView="100" workbookViewId="0">
      <selection activeCell="I11" sqref="I11:T37"/>
    </sheetView>
  </sheetViews>
  <sheetFormatPr defaultRowHeight="12.75" x14ac:dyDescent="0.2"/>
  <cols>
    <col min="1" max="1" width="5.5703125" style="256" customWidth="1"/>
    <col min="2" max="2" width="16" style="256" customWidth="1"/>
    <col min="3" max="3" width="10.28515625" style="256" customWidth="1"/>
    <col min="4" max="4" width="8.42578125" style="256" customWidth="1"/>
    <col min="5" max="6" width="9.85546875" style="256" customWidth="1"/>
    <col min="7" max="7" width="10.85546875" style="256" customWidth="1"/>
    <col min="8" max="8" width="12.85546875" style="256" customWidth="1"/>
    <col min="9" max="9" width="11.140625" style="242" customWidth="1"/>
    <col min="10" max="10" width="10.7109375" style="242" customWidth="1"/>
    <col min="11" max="11" width="8" style="242" customWidth="1"/>
    <col min="12" max="12" width="9.5703125" style="242" customWidth="1"/>
    <col min="13" max="14" width="8.140625" style="242" customWidth="1"/>
    <col min="15" max="15" width="8.42578125" style="242" customWidth="1"/>
    <col min="16" max="16" width="8.140625" style="242" customWidth="1"/>
    <col min="17" max="18" width="8.85546875" style="242" customWidth="1"/>
    <col min="19" max="19" width="10.7109375" style="242" customWidth="1"/>
    <col min="20" max="20" width="14.140625" style="242" customWidth="1"/>
    <col min="21" max="21" width="9.140625" style="256"/>
    <col min="22" max="86" width="9.140625" style="642"/>
    <col min="87" max="16384" width="9.140625" style="242"/>
  </cols>
  <sheetData>
    <row r="1" spans="1:86" ht="12.75" customHeight="1" x14ac:dyDescent="0.2">
      <c r="G1" s="1094"/>
      <c r="H1" s="1094"/>
      <c r="I1" s="1094"/>
      <c r="J1" s="256"/>
      <c r="K1" s="256"/>
      <c r="L1" s="256"/>
      <c r="M1" s="256"/>
      <c r="N1" s="256"/>
      <c r="O1" s="256"/>
      <c r="P1" s="256"/>
      <c r="Q1" s="1096" t="s">
        <v>529</v>
      </c>
      <c r="R1" s="1096"/>
      <c r="S1" s="1096"/>
      <c r="T1" s="1096"/>
    </row>
    <row r="2" spans="1:86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</row>
    <row r="3" spans="1:86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</row>
    <row r="4" spans="1:86" ht="12.75" customHeight="1" x14ac:dyDescent="0.2">
      <c r="A4" s="1100" t="s">
        <v>746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</row>
    <row r="5" spans="1:86" s="243" customFormat="1" ht="7.5" customHeight="1" x14ac:dyDescent="0.2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30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  <c r="AN5" s="643"/>
      <c r="AO5" s="643"/>
      <c r="AP5" s="643"/>
      <c r="AQ5" s="643"/>
      <c r="AR5" s="643"/>
      <c r="AS5" s="643"/>
      <c r="AT5" s="643"/>
      <c r="AU5" s="643"/>
      <c r="AV5" s="643"/>
      <c r="AW5" s="643"/>
      <c r="AX5" s="643"/>
      <c r="AY5" s="643"/>
      <c r="AZ5" s="643"/>
      <c r="BA5" s="643"/>
      <c r="BB5" s="643"/>
      <c r="BC5" s="643"/>
      <c r="BD5" s="643"/>
      <c r="BE5" s="643"/>
      <c r="BF5" s="643"/>
      <c r="BG5" s="643"/>
      <c r="BH5" s="643"/>
      <c r="BI5" s="643"/>
      <c r="BJ5" s="643"/>
      <c r="BK5" s="643"/>
      <c r="BL5" s="643"/>
      <c r="BM5" s="643"/>
      <c r="BN5" s="643"/>
      <c r="BO5" s="643"/>
      <c r="BP5" s="643"/>
      <c r="BQ5" s="643"/>
      <c r="BR5" s="643"/>
      <c r="BS5" s="643"/>
      <c r="BT5" s="643"/>
      <c r="BU5" s="643"/>
      <c r="BV5" s="643"/>
      <c r="BW5" s="643"/>
      <c r="BX5" s="643"/>
      <c r="BY5" s="643"/>
      <c r="BZ5" s="643"/>
      <c r="CA5" s="643"/>
      <c r="CB5" s="643"/>
      <c r="CC5" s="643"/>
      <c r="CD5" s="643"/>
      <c r="CE5" s="643"/>
      <c r="CF5" s="643"/>
      <c r="CG5" s="643"/>
      <c r="CH5" s="643"/>
    </row>
    <row r="6" spans="1:86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5"/>
      <c r="P6" s="1095"/>
      <c r="Q6" s="1095"/>
      <c r="R6" s="1095"/>
      <c r="S6" s="1095"/>
      <c r="T6" s="1095"/>
    </row>
    <row r="7" spans="1:86" ht="15" x14ac:dyDescent="0.3">
      <c r="A7" s="197" t="s">
        <v>917</v>
      </c>
      <c r="B7" s="197" t="s">
        <v>916</v>
      </c>
      <c r="H7" s="257"/>
      <c r="I7" s="256"/>
      <c r="J7" s="256"/>
      <c r="K7" s="256"/>
      <c r="L7" s="1106"/>
      <c r="M7" s="1106"/>
      <c r="N7" s="1106"/>
      <c r="O7" s="1106"/>
      <c r="P7" s="1106"/>
      <c r="Q7" s="1106"/>
      <c r="R7" s="1106"/>
      <c r="S7" s="1106"/>
      <c r="T7" s="1106"/>
    </row>
    <row r="8" spans="1:86" ht="24.75" customHeight="1" x14ac:dyDescent="0.2">
      <c r="A8" s="1103" t="s">
        <v>2</v>
      </c>
      <c r="B8" s="1103" t="s">
        <v>3</v>
      </c>
      <c r="C8" s="1097" t="s">
        <v>484</v>
      </c>
      <c r="D8" s="1098"/>
      <c r="E8" s="1098"/>
      <c r="F8" s="1098"/>
      <c r="G8" s="1099"/>
      <c r="H8" s="1107" t="s">
        <v>83</v>
      </c>
      <c r="I8" s="1097" t="s">
        <v>84</v>
      </c>
      <c r="J8" s="1098"/>
      <c r="K8" s="1098"/>
      <c r="L8" s="1099"/>
      <c r="M8" s="1103" t="s">
        <v>646</v>
      </c>
      <c r="N8" s="1103"/>
      <c r="O8" s="1103"/>
      <c r="P8" s="1103"/>
      <c r="Q8" s="1103"/>
      <c r="R8" s="1103"/>
      <c r="S8" s="1104" t="s">
        <v>701</v>
      </c>
      <c r="T8" s="1104"/>
    </row>
    <row r="9" spans="1:86" ht="51" customHeight="1" x14ac:dyDescent="0.2">
      <c r="A9" s="1103"/>
      <c r="B9" s="1103"/>
      <c r="C9" s="258" t="s">
        <v>5</v>
      </c>
      <c r="D9" s="258" t="s">
        <v>6</v>
      </c>
      <c r="E9" s="258" t="s">
        <v>354</v>
      </c>
      <c r="F9" s="259" t="s">
        <v>98</v>
      </c>
      <c r="G9" s="259" t="s">
        <v>224</v>
      </c>
      <c r="H9" s="1108"/>
      <c r="I9" s="258" t="s">
        <v>88</v>
      </c>
      <c r="J9" s="258" t="s">
        <v>20</v>
      </c>
      <c r="K9" s="258" t="s">
        <v>40</v>
      </c>
      <c r="L9" s="258" t="s">
        <v>680</v>
      </c>
      <c r="M9" s="258" t="s">
        <v>18</v>
      </c>
      <c r="N9" s="258" t="s">
        <v>647</v>
      </c>
      <c r="O9" s="258" t="s">
        <v>648</v>
      </c>
      <c r="P9" s="258" t="s">
        <v>649</v>
      </c>
      <c r="Q9" s="258" t="s">
        <v>650</v>
      </c>
      <c r="R9" s="258" t="s">
        <v>651</v>
      </c>
      <c r="S9" s="258" t="s">
        <v>706</v>
      </c>
      <c r="T9" s="258" t="s">
        <v>704</v>
      </c>
    </row>
    <row r="10" spans="1:86" s="244" customFormat="1" x14ac:dyDescent="0.2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305">
        <v>17</v>
      </c>
      <c r="R10" s="305">
        <v>18</v>
      </c>
      <c r="S10" s="305">
        <v>19</v>
      </c>
      <c r="T10" s="305">
        <v>20</v>
      </c>
      <c r="U10" s="266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  <c r="AS10" s="644"/>
      <c r="AT10" s="644"/>
      <c r="AU10" s="644"/>
      <c r="AV10" s="644"/>
      <c r="AW10" s="644"/>
      <c r="AX10" s="644"/>
      <c r="AY10" s="644"/>
      <c r="AZ10" s="644"/>
      <c r="BA10" s="644"/>
      <c r="BB10" s="644"/>
      <c r="BC10" s="644"/>
      <c r="BD10" s="644"/>
      <c r="BE10" s="644"/>
      <c r="BF10" s="644"/>
      <c r="BG10" s="644"/>
      <c r="BH10" s="644"/>
      <c r="BI10" s="644"/>
      <c r="BJ10" s="644"/>
      <c r="BK10" s="644"/>
      <c r="BL10" s="644"/>
      <c r="BM10" s="644"/>
      <c r="BN10" s="644"/>
      <c r="BO10" s="644"/>
      <c r="BP10" s="644"/>
      <c r="BQ10" s="644"/>
      <c r="BR10" s="644"/>
      <c r="BS10" s="644"/>
      <c r="BT10" s="644"/>
      <c r="BU10" s="644"/>
      <c r="BV10" s="644"/>
      <c r="BW10" s="644"/>
      <c r="BX10" s="644"/>
      <c r="BY10" s="644"/>
      <c r="BZ10" s="644"/>
      <c r="CA10" s="644"/>
      <c r="CB10" s="644"/>
      <c r="CC10" s="644"/>
      <c r="CD10" s="644"/>
      <c r="CE10" s="644"/>
      <c r="CF10" s="644"/>
      <c r="CG10" s="644"/>
      <c r="CH10" s="644"/>
    </row>
    <row r="11" spans="1:86" s="244" customFormat="1" ht="22.5" customHeight="1" x14ac:dyDescent="0.2">
      <c r="A11" s="260">
        <v>1</v>
      </c>
      <c r="B11" s="419" t="s">
        <v>890</v>
      </c>
      <c r="C11" s="541">
        <v>48381</v>
      </c>
      <c r="D11" s="541">
        <v>359</v>
      </c>
      <c r="E11" s="493">
        <v>0</v>
      </c>
      <c r="F11" s="541">
        <v>84</v>
      </c>
      <c r="G11" s="541">
        <f>SUM(C11:F11)</f>
        <v>48824</v>
      </c>
      <c r="H11" s="544">
        <v>246</v>
      </c>
      <c r="I11" s="547">
        <f>ROUND(G11*H11*100/1000000,2)</f>
        <v>1201.07</v>
      </c>
      <c r="J11" s="547">
        <f>I11</f>
        <v>1201.07</v>
      </c>
      <c r="K11" s="545"/>
      <c r="L11" s="545"/>
      <c r="M11" s="545"/>
      <c r="N11" s="545"/>
      <c r="O11" s="545"/>
      <c r="P11" s="545"/>
      <c r="Q11" s="545"/>
      <c r="R11" s="545"/>
      <c r="S11" s="547">
        <v>131.5</v>
      </c>
      <c r="T11" s="548">
        <f>ROUND(J11*S11/10000,2)</f>
        <v>15.79</v>
      </c>
      <c r="U11" s="266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4"/>
      <c r="AH11" s="644"/>
      <c r="AI11" s="644"/>
      <c r="AJ11" s="644"/>
      <c r="AK11" s="644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  <c r="AY11" s="644"/>
      <c r="AZ11" s="644"/>
      <c r="BA11" s="644"/>
      <c r="BB11" s="644"/>
      <c r="BC11" s="644"/>
      <c r="BD11" s="644"/>
      <c r="BE11" s="644"/>
      <c r="BF11" s="644"/>
      <c r="BG11" s="644"/>
      <c r="BH11" s="644"/>
      <c r="BI11" s="644"/>
      <c r="BJ11" s="644"/>
      <c r="BK11" s="644"/>
      <c r="BL11" s="644"/>
      <c r="BM11" s="644"/>
      <c r="BN11" s="644"/>
      <c r="BO11" s="644"/>
      <c r="BP11" s="644"/>
      <c r="BQ11" s="644"/>
      <c r="BR11" s="644"/>
      <c r="BS11" s="644"/>
      <c r="BT11" s="644"/>
      <c r="BU11" s="644"/>
      <c r="BV11" s="644"/>
      <c r="BW11" s="644"/>
      <c r="BX11" s="644"/>
      <c r="BY11" s="644"/>
      <c r="BZ11" s="644"/>
      <c r="CA11" s="644"/>
      <c r="CB11" s="644"/>
      <c r="CC11" s="644"/>
      <c r="CD11" s="644"/>
      <c r="CE11" s="644"/>
      <c r="CF11" s="644"/>
      <c r="CG11" s="644"/>
      <c r="CH11" s="644"/>
    </row>
    <row r="12" spans="1:86" s="244" customFormat="1" ht="22.5" customHeight="1" x14ac:dyDescent="0.2">
      <c r="A12" s="260">
        <v>2</v>
      </c>
      <c r="B12" s="419" t="s">
        <v>891</v>
      </c>
      <c r="C12" s="541">
        <v>113339</v>
      </c>
      <c r="D12" s="541">
        <v>347</v>
      </c>
      <c r="E12" s="493">
        <v>0</v>
      </c>
      <c r="F12" s="541">
        <v>0</v>
      </c>
      <c r="G12" s="541">
        <f t="shared" ref="G12:G37" si="0">SUM(C12:F12)</f>
        <v>113686</v>
      </c>
      <c r="H12" s="544">
        <v>246</v>
      </c>
      <c r="I12" s="547">
        <f t="shared" ref="I12:I37" si="1">ROUND(G12*H12*100/1000000,2)</f>
        <v>2796.68</v>
      </c>
      <c r="J12" s="547">
        <f t="shared" ref="J12:J38" si="2">I12</f>
        <v>2796.68</v>
      </c>
      <c r="K12" s="545"/>
      <c r="L12" s="545"/>
      <c r="M12" s="545"/>
      <c r="N12" s="545"/>
      <c r="O12" s="545"/>
      <c r="P12" s="545"/>
      <c r="Q12" s="545"/>
      <c r="R12" s="545"/>
      <c r="S12" s="547">
        <v>131.5</v>
      </c>
      <c r="T12" s="548">
        <f>ROUND(J12*S12/10000,2)</f>
        <v>36.78</v>
      </c>
      <c r="U12" s="266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4"/>
      <c r="AL12" s="644"/>
      <c r="AM12" s="644"/>
      <c r="AN12" s="644"/>
      <c r="AO12" s="644"/>
      <c r="AP12" s="644"/>
      <c r="AQ12" s="644"/>
      <c r="AR12" s="644"/>
      <c r="AS12" s="644"/>
      <c r="AT12" s="644"/>
      <c r="AU12" s="644"/>
      <c r="AV12" s="644"/>
      <c r="AW12" s="644"/>
      <c r="AX12" s="644"/>
      <c r="AY12" s="644"/>
      <c r="AZ12" s="644"/>
      <c r="BA12" s="644"/>
      <c r="BB12" s="644"/>
      <c r="BC12" s="644"/>
      <c r="BD12" s="644"/>
      <c r="BE12" s="644"/>
      <c r="BF12" s="644"/>
      <c r="BG12" s="644"/>
      <c r="BH12" s="644"/>
      <c r="BI12" s="644"/>
      <c r="BJ12" s="644"/>
      <c r="BK12" s="644"/>
      <c r="BL12" s="644"/>
      <c r="BM12" s="644"/>
      <c r="BN12" s="644"/>
      <c r="BO12" s="644"/>
      <c r="BP12" s="644"/>
      <c r="BQ12" s="644"/>
      <c r="BR12" s="644"/>
      <c r="BS12" s="644"/>
      <c r="BT12" s="644"/>
      <c r="BU12" s="644"/>
      <c r="BV12" s="644"/>
      <c r="BW12" s="644"/>
      <c r="BX12" s="644"/>
      <c r="BY12" s="644"/>
      <c r="BZ12" s="644"/>
      <c r="CA12" s="644"/>
      <c r="CB12" s="644"/>
      <c r="CC12" s="644"/>
      <c r="CD12" s="644"/>
      <c r="CE12" s="644"/>
      <c r="CF12" s="644"/>
      <c r="CG12" s="644"/>
      <c r="CH12" s="644"/>
    </row>
    <row r="13" spans="1:86" s="244" customFormat="1" ht="22.5" customHeight="1" x14ac:dyDescent="0.2">
      <c r="A13" s="260">
        <v>3</v>
      </c>
      <c r="B13" s="419" t="s">
        <v>892</v>
      </c>
      <c r="C13" s="541">
        <v>69049</v>
      </c>
      <c r="D13" s="541">
        <v>2012</v>
      </c>
      <c r="E13" s="493">
        <v>0</v>
      </c>
      <c r="F13" s="541">
        <v>1672</v>
      </c>
      <c r="G13" s="541">
        <f t="shared" si="0"/>
        <v>72733</v>
      </c>
      <c r="H13" s="544">
        <v>246</v>
      </c>
      <c r="I13" s="547">
        <f t="shared" si="1"/>
        <v>1789.23</v>
      </c>
      <c r="J13" s="547">
        <f t="shared" si="2"/>
        <v>1789.23</v>
      </c>
      <c r="K13" s="545"/>
      <c r="L13" s="545"/>
      <c r="M13" s="545"/>
      <c r="N13" s="545"/>
      <c r="O13" s="545"/>
      <c r="P13" s="545"/>
      <c r="Q13" s="545"/>
      <c r="R13" s="545"/>
      <c r="S13" s="547">
        <v>131.5</v>
      </c>
      <c r="T13" s="548">
        <f>ROUND(J13*S13/10000,2)</f>
        <v>23.53</v>
      </c>
      <c r="U13" s="266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644"/>
      <c r="AN13" s="644"/>
      <c r="AO13" s="644"/>
      <c r="AP13" s="644"/>
      <c r="AQ13" s="644"/>
      <c r="AR13" s="644"/>
      <c r="AS13" s="644"/>
      <c r="AT13" s="644"/>
      <c r="AU13" s="644"/>
      <c r="AV13" s="644"/>
      <c r="AW13" s="644"/>
      <c r="AX13" s="644"/>
      <c r="AY13" s="644"/>
      <c r="AZ13" s="644"/>
      <c r="BA13" s="644"/>
      <c r="BB13" s="644"/>
      <c r="BC13" s="644"/>
      <c r="BD13" s="644"/>
      <c r="BE13" s="644"/>
      <c r="BF13" s="644"/>
      <c r="BG13" s="644"/>
      <c r="BH13" s="644"/>
      <c r="BI13" s="644"/>
      <c r="BJ13" s="644"/>
      <c r="BK13" s="644"/>
      <c r="BL13" s="644"/>
      <c r="BM13" s="644"/>
      <c r="BN13" s="644"/>
      <c r="BO13" s="644"/>
      <c r="BP13" s="644"/>
      <c r="BQ13" s="644"/>
      <c r="BR13" s="644"/>
      <c r="BS13" s="644"/>
      <c r="BT13" s="644"/>
      <c r="BU13" s="644"/>
      <c r="BV13" s="644"/>
      <c r="BW13" s="644"/>
      <c r="BX13" s="644"/>
      <c r="BY13" s="644"/>
      <c r="BZ13" s="644"/>
      <c r="CA13" s="644"/>
      <c r="CB13" s="644"/>
      <c r="CC13" s="644"/>
      <c r="CD13" s="644"/>
      <c r="CE13" s="644"/>
      <c r="CF13" s="644"/>
      <c r="CG13" s="644"/>
      <c r="CH13" s="644"/>
    </row>
    <row r="14" spans="1:86" s="244" customFormat="1" ht="22.5" customHeight="1" x14ac:dyDescent="0.2">
      <c r="A14" s="260">
        <v>4</v>
      </c>
      <c r="B14" s="419" t="s">
        <v>893</v>
      </c>
      <c r="C14" s="541">
        <v>67640</v>
      </c>
      <c r="D14" s="541">
        <v>1529</v>
      </c>
      <c r="E14" s="493">
        <v>0</v>
      </c>
      <c r="F14" s="541">
        <v>316</v>
      </c>
      <c r="G14" s="541">
        <f t="shared" si="0"/>
        <v>69485</v>
      </c>
      <c r="H14" s="544">
        <v>246</v>
      </c>
      <c r="I14" s="547">
        <f t="shared" si="1"/>
        <v>1709.33</v>
      </c>
      <c r="J14" s="547">
        <f t="shared" si="2"/>
        <v>1709.33</v>
      </c>
      <c r="K14" s="545"/>
      <c r="L14" s="545"/>
      <c r="M14" s="545"/>
      <c r="N14" s="545"/>
      <c r="O14" s="545"/>
      <c r="P14" s="545"/>
      <c r="Q14" s="545"/>
      <c r="R14" s="545"/>
      <c r="S14" s="547">
        <v>131.5</v>
      </c>
      <c r="T14" s="548">
        <f t="shared" ref="T14:T38" si="3">ROUND(J14*S14/10000,2)</f>
        <v>22.48</v>
      </c>
      <c r="U14" s="266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V14" s="644"/>
      <c r="AW14" s="644"/>
      <c r="AX14" s="644"/>
      <c r="AY14" s="644"/>
      <c r="AZ14" s="644"/>
      <c r="BA14" s="644"/>
      <c r="BB14" s="644"/>
      <c r="BC14" s="644"/>
      <c r="BD14" s="644"/>
      <c r="BE14" s="644"/>
      <c r="BF14" s="644"/>
      <c r="BG14" s="644"/>
      <c r="BH14" s="644"/>
      <c r="BI14" s="644"/>
      <c r="BJ14" s="644"/>
      <c r="BK14" s="644"/>
      <c r="BL14" s="644"/>
      <c r="BM14" s="644"/>
      <c r="BN14" s="644"/>
      <c r="BO14" s="644"/>
      <c r="BP14" s="644"/>
      <c r="BQ14" s="644"/>
      <c r="BR14" s="644"/>
      <c r="BS14" s="644"/>
      <c r="BT14" s="644"/>
      <c r="BU14" s="644"/>
      <c r="BV14" s="644"/>
      <c r="BW14" s="644"/>
      <c r="BX14" s="644"/>
      <c r="BY14" s="644"/>
      <c r="BZ14" s="644"/>
      <c r="CA14" s="644"/>
      <c r="CB14" s="644"/>
      <c r="CC14" s="644"/>
      <c r="CD14" s="644"/>
      <c r="CE14" s="644"/>
      <c r="CF14" s="644"/>
      <c r="CG14" s="644"/>
      <c r="CH14" s="644"/>
    </row>
    <row r="15" spans="1:86" s="244" customFormat="1" ht="22.5" customHeight="1" x14ac:dyDescent="0.2">
      <c r="A15" s="260">
        <v>5</v>
      </c>
      <c r="B15" s="419" t="s">
        <v>894</v>
      </c>
      <c r="C15" s="541">
        <v>71163</v>
      </c>
      <c r="D15" s="541">
        <v>0</v>
      </c>
      <c r="E15" s="493">
        <v>0</v>
      </c>
      <c r="F15" s="541">
        <v>51</v>
      </c>
      <c r="G15" s="541">
        <f t="shared" si="0"/>
        <v>71214</v>
      </c>
      <c r="H15" s="544">
        <v>246</v>
      </c>
      <c r="I15" s="547">
        <f t="shared" si="1"/>
        <v>1751.86</v>
      </c>
      <c r="J15" s="547">
        <f t="shared" si="2"/>
        <v>1751.86</v>
      </c>
      <c r="K15" s="545"/>
      <c r="L15" s="545"/>
      <c r="M15" s="545"/>
      <c r="N15" s="545"/>
      <c r="O15" s="545"/>
      <c r="P15" s="545"/>
      <c r="Q15" s="545"/>
      <c r="R15" s="545"/>
      <c r="S15" s="547">
        <v>131.5</v>
      </c>
      <c r="T15" s="548">
        <f t="shared" si="3"/>
        <v>23.04</v>
      </c>
      <c r="U15" s="266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4"/>
      <c r="BG15" s="644"/>
      <c r="BH15" s="644"/>
      <c r="BI15" s="644"/>
      <c r="BJ15" s="644"/>
      <c r="BK15" s="644"/>
      <c r="BL15" s="644"/>
      <c r="BM15" s="644"/>
      <c r="BN15" s="644"/>
      <c r="BO15" s="644"/>
      <c r="BP15" s="644"/>
      <c r="BQ15" s="644"/>
      <c r="BR15" s="644"/>
      <c r="BS15" s="644"/>
      <c r="BT15" s="644"/>
      <c r="BU15" s="644"/>
      <c r="BV15" s="644"/>
      <c r="BW15" s="644"/>
      <c r="BX15" s="644"/>
      <c r="BY15" s="644"/>
      <c r="BZ15" s="644"/>
      <c r="CA15" s="644"/>
      <c r="CB15" s="644"/>
      <c r="CC15" s="644"/>
      <c r="CD15" s="644"/>
      <c r="CE15" s="644"/>
      <c r="CF15" s="644"/>
      <c r="CG15" s="644"/>
      <c r="CH15" s="644"/>
    </row>
    <row r="16" spans="1:86" s="244" customFormat="1" ht="22.5" customHeight="1" x14ac:dyDescent="0.2">
      <c r="A16" s="260">
        <v>6</v>
      </c>
      <c r="B16" s="419" t="s">
        <v>895</v>
      </c>
      <c r="C16" s="541">
        <v>29412</v>
      </c>
      <c r="D16" s="541">
        <v>447</v>
      </c>
      <c r="E16" s="493">
        <v>0</v>
      </c>
      <c r="F16" s="541">
        <v>0</v>
      </c>
      <c r="G16" s="541">
        <f t="shared" si="0"/>
        <v>29859</v>
      </c>
      <c r="H16" s="544">
        <v>246</v>
      </c>
      <c r="I16" s="547">
        <f t="shared" si="1"/>
        <v>734.53</v>
      </c>
      <c r="J16" s="547">
        <f t="shared" si="2"/>
        <v>734.53</v>
      </c>
      <c r="K16" s="545"/>
      <c r="L16" s="545"/>
      <c r="M16" s="545"/>
      <c r="N16" s="545"/>
      <c r="O16" s="545"/>
      <c r="P16" s="545"/>
      <c r="Q16" s="545"/>
      <c r="R16" s="545"/>
      <c r="S16" s="547">
        <v>131.5</v>
      </c>
      <c r="T16" s="548">
        <f t="shared" si="3"/>
        <v>9.66</v>
      </c>
      <c r="U16" s="266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4"/>
      <c r="AZ16" s="644"/>
      <c r="BA16" s="644"/>
      <c r="BB16" s="644"/>
      <c r="BC16" s="644"/>
      <c r="BD16" s="644"/>
      <c r="BE16" s="644"/>
      <c r="BF16" s="644"/>
      <c r="BG16" s="644"/>
      <c r="BH16" s="644"/>
      <c r="BI16" s="644"/>
      <c r="BJ16" s="644"/>
      <c r="BK16" s="644"/>
      <c r="BL16" s="644"/>
      <c r="BM16" s="644"/>
      <c r="BN16" s="644"/>
      <c r="BO16" s="644"/>
      <c r="BP16" s="644"/>
      <c r="BQ16" s="644"/>
      <c r="BR16" s="644"/>
      <c r="BS16" s="644"/>
      <c r="BT16" s="644"/>
      <c r="BU16" s="644"/>
      <c r="BV16" s="644"/>
      <c r="BW16" s="644"/>
      <c r="BX16" s="644"/>
      <c r="BY16" s="644"/>
      <c r="BZ16" s="644"/>
      <c r="CA16" s="644"/>
      <c r="CB16" s="644"/>
      <c r="CC16" s="644"/>
      <c r="CD16" s="644"/>
      <c r="CE16" s="644"/>
      <c r="CF16" s="644"/>
      <c r="CG16" s="644"/>
      <c r="CH16" s="644"/>
    </row>
    <row r="17" spans="1:86" s="244" customFormat="1" ht="22.5" customHeight="1" x14ac:dyDescent="0.2">
      <c r="A17" s="260">
        <v>7</v>
      </c>
      <c r="B17" s="419" t="s">
        <v>896</v>
      </c>
      <c r="C17" s="541">
        <v>142447</v>
      </c>
      <c r="D17" s="541">
        <v>3913</v>
      </c>
      <c r="E17" s="493">
        <v>0</v>
      </c>
      <c r="F17" s="541">
        <v>724</v>
      </c>
      <c r="G17" s="541">
        <f t="shared" si="0"/>
        <v>147084</v>
      </c>
      <c r="H17" s="544">
        <v>246</v>
      </c>
      <c r="I17" s="547">
        <f t="shared" si="1"/>
        <v>3618.27</v>
      </c>
      <c r="J17" s="547">
        <f t="shared" si="2"/>
        <v>3618.27</v>
      </c>
      <c r="K17" s="545"/>
      <c r="L17" s="545"/>
      <c r="M17" s="545"/>
      <c r="N17" s="545"/>
      <c r="O17" s="545"/>
      <c r="P17" s="545"/>
      <c r="Q17" s="545"/>
      <c r="R17" s="545"/>
      <c r="S17" s="547">
        <v>131.5</v>
      </c>
      <c r="T17" s="548">
        <f t="shared" si="3"/>
        <v>47.58</v>
      </c>
      <c r="U17" s="266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644"/>
      <c r="AS17" s="644"/>
      <c r="AT17" s="644"/>
      <c r="AU17" s="644"/>
      <c r="AV17" s="644"/>
      <c r="AW17" s="644"/>
      <c r="AX17" s="644"/>
      <c r="AY17" s="644"/>
      <c r="AZ17" s="644"/>
      <c r="BA17" s="644"/>
      <c r="BB17" s="644"/>
      <c r="BC17" s="644"/>
      <c r="BD17" s="644"/>
      <c r="BE17" s="644"/>
      <c r="BF17" s="644"/>
      <c r="BG17" s="644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/>
      <c r="BY17" s="644"/>
      <c r="BZ17" s="644"/>
      <c r="CA17" s="644"/>
      <c r="CB17" s="644"/>
      <c r="CC17" s="644"/>
      <c r="CD17" s="644"/>
      <c r="CE17" s="644"/>
      <c r="CF17" s="644"/>
      <c r="CG17" s="644"/>
      <c r="CH17" s="644"/>
    </row>
    <row r="18" spans="1:86" s="244" customFormat="1" ht="22.5" customHeight="1" x14ac:dyDescent="0.2">
      <c r="A18" s="260">
        <v>8</v>
      </c>
      <c r="B18" s="419" t="s">
        <v>897</v>
      </c>
      <c r="C18" s="541">
        <v>24015</v>
      </c>
      <c r="D18" s="541">
        <v>1947</v>
      </c>
      <c r="E18" s="493">
        <v>0</v>
      </c>
      <c r="F18" s="541">
        <v>14</v>
      </c>
      <c r="G18" s="541">
        <f t="shared" si="0"/>
        <v>25976</v>
      </c>
      <c r="H18" s="544">
        <v>246</v>
      </c>
      <c r="I18" s="547">
        <f t="shared" si="1"/>
        <v>639.01</v>
      </c>
      <c r="J18" s="547">
        <f t="shared" si="2"/>
        <v>639.01</v>
      </c>
      <c r="K18" s="545"/>
      <c r="L18" s="545"/>
      <c r="M18" s="545"/>
      <c r="N18" s="545"/>
      <c r="O18" s="545"/>
      <c r="P18" s="545"/>
      <c r="Q18" s="545"/>
      <c r="R18" s="545"/>
      <c r="S18" s="547">
        <v>131.5</v>
      </c>
      <c r="T18" s="548">
        <f t="shared" si="3"/>
        <v>8.4</v>
      </c>
      <c r="U18" s="266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644"/>
      <c r="AS18" s="644"/>
      <c r="AT18" s="644"/>
      <c r="AU18" s="644"/>
      <c r="AV18" s="644"/>
      <c r="AW18" s="644"/>
      <c r="AX18" s="644"/>
      <c r="AY18" s="644"/>
      <c r="AZ18" s="644"/>
      <c r="BA18" s="644"/>
      <c r="BB18" s="644"/>
      <c r="BC18" s="644"/>
      <c r="BD18" s="644"/>
      <c r="BE18" s="644"/>
      <c r="BF18" s="644"/>
      <c r="BG18" s="644"/>
      <c r="BH18" s="644"/>
      <c r="BI18" s="644"/>
      <c r="BJ18" s="644"/>
      <c r="BK18" s="644"/>
      <c r="BL18" s="644"/>
      <c r="BM18" s="644"/>
      <c r="BN18" s="644"/>
      <c r="BO18" s="644"/>
      <c r="BP18" s="644"/>
      <c r="BQ18" s="644"/>
      <c r="BR18" s="644"/>
      <c r="BS18" s="644"/>
      <c r="BT18" s="644"/>
      <c r="BU18" s="644"/>
      <c r="BV18" s="644"/>
      <c r="BW18" s="644"/>
      <c r="BX18" s="644"/>
      <c r="BY18" s="644"/>
      <c r="BZ18" s="644"/>
      <c r="CA18" s="644"/>
      <c r="CB18" s="644"/>
      <c r="CC18" s="644"/>
      <c r="CD18" s="644"/>
      <c r="CE18" s="644"/>
      <c r="CF18" s="644"/>
      <c r="CG18" s="644"/>
      <c r="CH18" s="644"/>
    </row>
    <row r="19" spans="1:86" s="244" customFormat="1" ht="22.5" customHeight="1" x14ac:dyDescent="0.2">
      <c r="A19" s="260">
        <v>9</v>
      </c>
      <c r="B19" s="419" t="s">
        <v>898</v>
      </c>
      <c r="C19" s="541">
        <v>45877</v>
      </c>
      <c r="D19" s="541">
        <v>151</v>
      </c>
      <c r="E19" s="493">
        <v>0</v>
      </c>
      <c r="F19" s="541">
        <v>73</v>
      </c>
      <c r="G19" s="541">
        <f t="shared" si="0"/>
        <v>46101</v>
      </c>
      <c r="H19" s="544">
        <v>246</v>
      </c>
      <c r="I19" s="547">
        <f t="shared" si="1"/>
        <v>1134.08</v>
      </c>
      <c r="J19" s="547">
        <f t="shared" si="2"/>
        <v>1134.08</v>
      </c>
      <c r="K19" s="545"/>
      <c r="L19" s="545"/>
      <c r="M19" s="545"/>
      <c r="N19" s="545"/>
      <c r="O19" s="545"/>
      <c r="P19" s="545"/>
      <c r="Q19" s="545"/>
      <c r="R19" s="545"/>
      <c r="S19" s="547">
        <v>131.5</v>
      </c>
      <c r="T19" s="548">
        <f t="shared" si="3"/>
        <v>14.91</v>
      </c>
      <c r="U19" s="266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644"/>
      <c r="AS19" s="644"/>
      <c r="AT19" s="644"/>
      <c r="AU19" s="644"/>
      <c r="AV19" s="644"/>
      <c r="AW19" s="644"/>
      <c r="AX19" s="644"/>
      <c r="AY19" s="644"/>
      <c r="AZ19" s="644"/>
      <c r="BA19" s="644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644"/>
      <c r="BM19" s="644"/>
      <c r="BN19" s="644"/>
      <c r="BO19" s="644"/>
      <c r="BP19" s="644"/>
      <c r="BQ19" s="644"/>
      <c r="BR19" s="644"/>
      <c r="BS19" s="644"/>
      <c r="BT19" s="644"/>
      <c r="BU19" s="644"/>
      <c r="BV19" s="644"/>
      <c r="BW19" s="644"/>
      <c r="BX19" s="644"/>
      <c r="BY19" s="644"/>
      <c r="BZ19" s="644"/>
      <c r="CA19" s="644"/>
      <c r="CB19" s="644"/>
      <c r="CC19" s="644"/>
      <c r="CD19" s="644"/>
      <c r="CE19" s="644"/>
      <c r="CF19" s="644"/>
      <c r="CG19" s="644"/>
      <c r="CH19" s="644"/>
    </row>
    <row r="20" spans="1:86" s="244" customFormat="1" ht="22.5" customHeight="1" x14ac:dyDescent="0.2">
      <c r="A20" s="260">
        <v>10</v>
      </c>
      <c r="B20" s="419" t="s">
        <v>899</v>
      </c>
      <c r="C20" s="541">
        <v>61490</v>
      </c>
      <c r="D20" s="541">
        <v>1200</v>
      </c>
      <c r="E20" s="493">
        <v>0</v>
      </c>
      <c r="F20" s="541">
        <v>1160</v>
      </c>
      <c r="G20" s="541">
        <f t="shared" si="0"/>
        <v>63850</v>
      </c>
      <c r="H20" s="544">
        <v>246</v>
      </c>
      <c r="I20" s="547">
        <f t="shared" si="1"/>
        <v>1570.71</v>
      </c>
      <c r="J20" s="547">
        <f t="shared" si="2"/>
        <v>1570.71</v>
      </c>
      <c r="K20" s="545"/>
      <c r="L20" s="545"/>
      <c r="M20" s="545"/>
      <c r="N20" s="545"/>
      <c r="O20" s="545"/>
      <c r="P20" s="545"/>
      <c r="Q20" s="545"/>
      <c r="R20" s="545"/>
      <c r="S20" s="547">
        <v>131.5</v>
      </c>
      <c r="T20" s="548">
        <f t="shared" si="3"/>
        <v>20.65</v>
      </c>
      <c r="U20" s="266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644"/>
      <c r="AS20" s="644"/>
      <c r="AT20" s="644"/>
      <c r="AU20" s="644"/>
      <c r="AV20" s="644"/>
      <c r="AW20" s="644"/>
      <c r="AX20" s="644"/>
      <c r="AY20" s="644"/>
      <c r="AZ20" s="644"/>
      <c r="BA20" s="644"/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644"/>
      <c r="BT20" s="644"/>
      <c r="BU20" s="644"/>
      <c r="BV20" s="644"/>
      <c r="BW20" s="644"/>
      <c r="BX20" s="644"/>
      <c r="BY20" s="644"/>
      <c r="BZ20" s="644"/>
      <c r="CA20" s="644"/>
      <c r="CB20" s="644"/>
      <c r="CC20" s="644"/>
      <c r="CD20" s="644"/>
      <c r="CE20" s="644"/>
      <c r="CF20" s="644"/>
      <c r="CG20" s="644"/>
      <c r="CH20" s="644"/>
    </row>
    <row r="21" spans="1:86" s="244" customFormat="1" ht="22.5" customHeight="1" x14ac:dyDescent="0.2">
      <c r="A21" s="260">
        <v>11</v>
      </c>
      <c r="B21" s="419" t="s">
        <v>900</v>
      </c>
      <c r="C21" s="541">
        <v>49695</v>
      </c>
      <c r="D21" s="541">
        <v>244</v>
      </c>
      <c r="E21" s="493">
        <v>0</v>
      </c>
      <c r="F21" s="541">
        <v>0</v>
      </c>
      <c r="G21" s="541">
        <f t="shared" si="0"/>
        <v>49939</v>
      </c>
      <c r="H21" s="544">
        <v>246</v>
      </c>
      <c r="I21" s="547">
        <f t="shared" si="1"/>
        <v>1228.5</v>
      </c>
      <c r="J21" s="547">
        <f t="shared" si="2"/>
        <v>1228.5</v>
      </c>
      <c r="K21" s="545"/>
      <c r="L21" s="545"/>
      <c r="M21" s="545"/>
      <c r="N21" s="545"/>
      <c r="O21" s="545"/>
      <c r="P21" s="545"/>
      <c r="Q21" s="545"/>
      <c r="R21" s="545"/>
      <c r="S21" s="547">
        <v>131.5</v>
      </c>
      <c r="T21" s="548">
        <f t="shared" si="3"/>
        <v>16.149999999999999</v>
      </c>
      <c r="U21" s="266"/>
      <c r="V21" s="644"/>
      <c r="W21" s="644"/>
      <c r="X21" s="644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  <c r="AX21" s="644"/>
      <c r="AY21" s="644"/>
      <c r="AZ21" s="644"/>
      <c r="BA21" s="644"/>
      <c r="BB21" s="644"/>
      <c r="BC21" s="644"/>
      <c r="BD21" s="644"/>
      <c r="BE21" s="644"/>
      <c r="BF21" s="644"/>
      <c r="BG21" s="644"/>
      <c r="BH21" s="644"/>
      <c r="BI21" s="644"/>
      <c r="BJ21" s="644"/>
      <c r="BK21" s="644"/>
      <c r="BL21" s="644"/>
      <c r="BM21" s="644"/>
      <c r="BN21" s="644"/>
      <c r="BO21" s="644"/>
      <c r="BP21" s="644"/>
      <c r="BQ21" s="644"/>
      <c r="BR21" s="644"/>
      <c r="BS21" s="644"/>
      <c r="BT21" s="644"/>
      <c r="BU21" s="644"/>
      <c r="BV21" s="644"/>
      <c r="BW21" s="644"/>
      <c r="BX21" s="644"/>
      <c r="BY21" s="644"/>
      <c r="BZ21" s="644"/>
      <c r="CA21" s="644"/>
      <c r="CB21" s="644"/>
      <c r="CC21" s="644"/>
      <c r="CD21" s="644"/>
      <c r="CE21" s="644"/>
      <c r="CF21" s="644"/>
      <c r="CG21" s="644"/>
      <c r="CH21" s="644"/>
    </row>
    <row r="22" spans="1:86" ht="22.5" customHeight="1" x14ac:dyDescent="0.2">
      <c r="A22" s="260">
        <v>12</v>
      </c>
      <c r="B22" s="419" t="s">
        <v>941</v>
      </c>
      <c r="C22" s="541">
        <v>100982</v>
      </c>
      <c r="D22" s="541">
        <v>1801</v>
      </c>
      <c r="E22" s="493">
        <v>0</v>
      </c>
      <c r="F22" s="541">
        <v>108</v>
      </c>
      <c r="G22" s="541">
        <f t="shared" si="0"/>
        <v>102891</v>
      </c>
      <c r="H22" s="544">
        <v>246</v>
      </c>
      <c r="I22" s="547">
        <f t="shared" si="1"/>
        <v>2531.12</v>
      </c>
      <c r="J22" s="547">
        <f t="shared" si="2"/>
        <v>2531.12</v>
      </c>
      <c r="K22" s="545"/>
      <c r="L22" s="545"/>
      <c r="M22" s="545"/>
      <c r="N22" s="545"/>
      <c r="O22" s="545"/>
      <c r="P22" s="545"/>
      <c r="Q22" s="545"/>
      <c r="R22" s="545"/>
      <c r="S22" s="547">
        <v>131.5</v>
      </c>
      <c r="T22" s="548">
        <f t="shared" si="3"/>
        <v>33.28</v>
      </c>
    </row>
    <row r="23" spans="1:86" ht="22.5" customHeight="1" x14ac:dyDescent="0.2">
      <c r="A23" s="260">
        <v>13</v>
      </c>
      <c r="B23" s="419" t="s">
        <v>902</v>
      </c>
      <c r="C23" s="540">
        <v>56650</v>
      </c>
      <c r="D23" s="540">
        <v>9197</v>
      </c>
      <c r="E23" s="493">
        <v>0</v>
      </c>
      <c r="F23" s="540">
        <v>613</v>
      </c>
      <c r="G23" s="541">
        <f t="shared" si="0"/>
        <v>66460</v>
      </c>
      <c r="H23" s="544">
        <v>246</v>
      </c>
      <c r="I23" s="547">
        <f t="shared" si="1"/>
        <v>1634.92</v>
      </c>
      <c r="J23" s="547">
        <f t="shared" si="2"/>
        <v>1634.92</v>
      </c>
      <c r="K23" s="545"/>
      <c r="L23" s="545"/>
      <c r="M23" s="545"/>
      <c r="N23" s="545"/>
      <c r="O23" s="545"/>
      <c r="P23" s="545"/>
      <c r="Q23" s="545"/>
      <c r="R23" s="545"/>
      <c r="S23" s="547">
        <v>131.5</v>
      </c>
      <c r="T23" s="548">
        <f t="shared" si="3"/>
        <v>21.5</v>
      </c>
    </row>
    <row r="24" spans="1:86" ht="22.5" customHeight="1" x14ac:dyDescent="0.2">
      <c r="A24" s="260">
        <v>14</v>
      </c>
      <c r="B24" s="419" t="s">
        <v>903</v>
      </c>
      <c r="C24" s="540">
        <v>52227</v>
      </c>
      <c r="D24" s="540">
        <v>81</v>
      </c>
      <c r="E24" s="493">
        <v>0</v>
      </c>
      <c r="F24" s="540">
        <v>53</v>
      </c>
      <c r="G24" s="541">
        <f t="shared" si="0"/>
        <v>52361</v>
      </c>
      <c r="H24" s="544">
        <v>246</v>
      </c>
      <c r="I24" s="547">
        <f t="shared" si="1"/>
        <v>1288.08</v>
      </c>
      <c r="J24" s="547">
        <f t="shared" si="2"/>
        <v>1288.08</v>
      </c>
      <c r="K24" s="545"/>
      <c r="L24" s="545"/>
      <c r="M24" s="545"/>
      <c r="N24" s="545"/>
      <c r="O24" s="545"/>
      <c r="P24" s="545"/>
      <c r="Q24" s="545"/>
      <c r="R24" s="545"/>
      <c r="S24" s="547">
        <v>131.5</v>
      </c>
      <c r="T24" s="548">
        <f t="shared" si="3"/>
        <v>16.940000000000001</v>
      </c>
    </row>
    <row r="25" spans="1:86" ht="22.5" customHeight="1" x14ac:dyDescent="0.2">
      <c r="A25" s="260">
        <v>15</v>
      </c>
      <c r="B25" s="419" t="s">
        <v>904</v>
      </c>
      <c r="C25" s="540">
        <v>74761</v>
      </c>
      <c r="D25" s="540">
        <v>812</v>
      </c>
      <c r="E25" s="493">
        <v>0</v>
      </c>
      <c r="F25" s="540">
        <v>56</v>
      </c>
      <c r="G25" s="541">
        <f t="shared" si="0"/>
        <v>75629</v>
      </c>
      <c r="H25" s="544">
        <v>246</v>
      </c>
      <c r="I25" s="547">
        <f t="shared" si="1"/>
        <v>1860.47</v>
      </c>
      <c r="J25" s="547">
        <f t="shared" si="2"/>
        <v>1860.47</v>
      </c>
      <c r="K25" s="545"/>
      <c r="L25" s="545"/>
      <c r="M25" s="545"/>
      <c r="N25" s="545"/>
      <c r="O25" s="545"/>
      <c r="P25" s="545"/>
      <c r="Q25" s="545"/>
      <c r="R25" s="545"/>
      <c r="S25" s="547">
        <v>131.5</v>
      </c>
      <c r="T25" s="548">
        <f t="shared" si="3"/>
        <v>24.47</v>
      </c>
    </row>
    <row r="26" spans="1:86" ht="22.5" customHeight="1" x14ac:dyDescent="0.2">
      <c r="A26" s="260">
        <v>16</v>
      </c>
      <c r="B26" s="419" t="s">
        <v>905</v>
      </c>
      <c r="C26" s="540">
        <v>53331</v>
      </c>
      <c r="D26" s="540">
        <v>0</v>
      </c>
      <c r="E26" s="493">
        <v>0</v>
      </c>
      <c r="F26" s="540">
        <v>123</v>
      </c>
      <c r="G26" s="541">
        <f t="shared" si="0"/>
        <v>53454</v>
      </c>
      <c r="H26" s="544">
        <v>246</v>
      </c>
      <c r="I26" s="547">
        <f t="shared" si="1"/>
        <v>1314.97</v>
      </c>
      <c r="J26" s="547">
        <f t="shared" si="2"/>
        <v>1314.97</v>
      </c>
      <c r="K26" s="545"/>
      <c r="L26" s="545"/>
      <c r="M26" s="545"/>
      <c r="N26" s="545"/>
      <c r="O26" s="545"/>
      <c r="P26" s="545"/>
      <c r="Q26" s="545"/>
      <c r="R26" s="545"/>
      <c r="S26" s="547">
        <v>131.5</v>
      </c>
      <c r="T26" s="548">
        <f t="shared" si="3"/>
        <v>17.29</v>
      </c>
    </row>
    <row r="27" spans="1:86" ht="22.5" customHeight="1" x14ac:dyDescent="0.2">
      <c r="A27" s="260">
        <v>17</v>
      </c>
      <c r="B27" s="419" t="s">
        <v>906</v>
      </c>
      <c r="C27" s="540">
        <v>74300</v>
      </c>
      <c r="D27" s="540">
        <v>542</v>
      </c>
      <c r="E27" s="493">
        <v>0</v>
      </c>
      <c r="F27" s="540">
        <v>139</v>
      </c>
      <c r="G27" s="541">
        <f t="shared" si="0"/>
        <v>74981</v>
      </c>
      <c r="H27" s="544">
        <v>246</v>
      </c>
      <c r="I27" s="547">
        <f t="shared" si="1"/>
        <v>1844.53</v>
      </c>
      <c r="J27" s="547">
        <f t="shared" si="2"/>
        <v>1844.53</v>
      </c>
      <c r="K27" s="545"/>
      <c r="L27" s="545"/>
      <c r="M27" s="545"/>
      <c r="N27" s="545"/>
      <c r="O27" s="545"/>
      <c r="P27" s="545"/>
      <c r="Q27" s="545"/>
      <c r="R27" s="545"/>
      <c r="S27" s="547">
        <v>131.5</v>
      </c>
      <c r="T27" s="548">
        <f t="shared" si="3"/>
        <v>24.26</v>
      </c>
    </row>
    <row r="28" spans="1:86" ht="22.5" customHeight="1" x14ac:dyDescent="0.2">
      <c r="A28" s="260">
        <v>18</v>
      </c>
      <c r="B28" s="419" t="s">
        <v>907</v>
      </c>
      <c r="C28" s="540">
        <v>41570</v>
      </c>
      <c r="D28" s="540">
        <v>387</v>
      </c>
      <c r="E28" s="493">
        <v>0</v>
      </c>
      <c r="F28" s="540">
        <v>174</v>
      </c>
      <c r="G28" s="541">
        <f t="shared" si="0"/>
        <v>42131</v>
      </c>
      <c r="H28" s="544">
        <v>246</v>
      </c>
      <c r="I28" s="547">
        <f t="shared" si="1"/>
        <v>1036.42</v>
      </c>
      <c r="J28" s="547">
        <f t="shared" si="2"/>
        <v>1036.42</v>
      </c>
      <c r="K28" s="545"/>
      <c r="L28" s="545"/>
      <c r="M28" s="545"/>
      <c r="N28" s="545"/>
      <c r="O28" s="545"/>
      <c r="P28" s="545"/>
      <c r="Q28" s="545"/>
      <c r="R28" s="545"/>
      <c r="S28" s="547">
        <v>131.5</v>
      </c>
      <c r="T28" s="548">
        <f t="shared" si="3"/>
        <v>13.63</v>
      </c>
    </row>
    <row r="29" spans="1:86" ht="22.5" customHeight="1" x14ac:dyDescent="0.2">
      <c r="A29" s="260">
        <v>19</v>
      </c>
      <c r="B29" s="419" t="s">
        <v>908</v>
      </c>
      <c r="C29" s="540">
        <v>75507</v>
      </c>
      <c r="D29" s="540">
        <v>939</v>
      </c>
      <c r="E29" s="493">
        <v>0</v>
      </c>
      <c r="F29" s="540">
        <v>551</v>
      </c>
      <c r="G29" s="541">
        <f t="shared" si="0"/>
        <v>76997</v>
      </c>
      <c r="H29" s="544">
        <v>246</v>
      </c>
      <c r="I29" s="547">
        <f t="shared" si="1"/>
        <v>1894.13</v>
      </c>
      <c r="J29" s="547">
        <f t="shared" si="2"/>
        <v>1894.13</v>
      </c>
      <c r="K29" s="545"/>
      <c r="L29" s="545"/>
      <c r="M29" s="545"/>
      <c r="N29" s="545"/>
      <c r="O29" s="545"/>
      <c r="P29" s="545"/>
      <c r="Q29" s="545"/>
      <c r="R29" s="545"/>
      <c r="S29" s="547">
        <v>131.5</v>
      </c>
      <c r="T29" s="548">
        <f t="shared" si="3"/>
        <v>24.91</v>
      </c>
    </row>
    <row r="30" spans="1:86" ht="22.5" customHeight="1" x14ac:dyDescent="0.2">
      <c r="A30" s="260">
        <v>20</v>
      </c>
      <c r="B30" s="419" t="s">
        <v>909</v>
      </c>
      <c r="C30" s="540">
        <v>66174</v>
      </c>
      <c r="D30" s="540">
        <v>174</v>
      </c>
      <c r="E30" s="493">
        <v>0</v>
      </c>
      <c r="F30" s="540">
        <v>106</v>
      </c>
      <c r="G30" s="541">
        <f t="shared" si="0"/>
        <v>66454</v>
      </c>
      <c r="H30" s="544">
        <v>246</v>
      </c>
      <c r="I30" s="547">
        <f t="shared" si="1"/>
        <v>1634.77</v>
      </c>
      <c r="J30" s="547">
        <f t="shared" si="2"/>
        <v>1634.77</v>
      </c>
      <c r="K30" s="545"/>
      <c r="L30" s="545"/>
      <c r="M30" s="545"/>
      <c r="N30" s="545"/>
      <c r="O30" s="545"/>
      <c r="P30" s="545"/>
      <c r="Q30" s="545"/>
      <c r="R30" s="545"/>
      <c r="S30" s="547">
        <v>131.5</v>
      </c>
      <c r="T30" s="548">
        <f t="shared" si="3"/>
        <v>21.5</v>
      </c>
    </row>
    <row r="31" spans="1:86" ht="22.5" customHeight="1" x14ac:dyDescent="0.2">
      <c r="A31" s="260">
        <v>21</v>
      </c>
      <c r="B31" s="419" t="s">
        <v>910</v>
      </c>
      <c r="C31" s="540">
        <v>13923</v>
      </c>
      <c r="D31" s="540">
        <v>1358</v>
      </c>
      <c r="E31" s="493">
        <v>0</v>
      </c>
      <c r="F31" s="540">
        <v>0</v>
      </c>
      <c r="G31" s="541">
        <f t="shared" si="0"/>
        <v>15281</v>
      </c>
      <c r="H31" s="544">
        <v>246</v>
      </c>
      <c r="I31" s="547">
        <f t="shared" si="1"/>
        <v>375.91</v>
      </c>
      <c r="J31" s="547">
        <f t="shared" si="2"/>
        <v>375.91</v>
      </c>
      <c r="K31" s="545"/>
      <c r="L31" s="545"/>
      <c r="M31" s="545"/>
      <c r="N31" s="545"/>
      <c r="O31" s="545"/>
      <c r="P31" s="545"/>
      <c r="Q31" s="545"/>
      <c r="R31" s="545"/>
      <c r="S31" s="547">
        <v>131.5</v>
      </c>
      <c r="T31" s="548">
        <f t="shared" si="3"/>
        <v>4.9400000000000004</v>
      </c>
    </row>
    <row r="32" spans="1:86" ht="22.5" customHeight="1" x14ac:dyDescent="0.2">
      <c r="A32" s="260">
        <v>22</v>
      </c>
      <c r="B32" s="419" t="s">
        <v>911</v>
      </c>
      <c r="C32" s="540">
        <v>83924</v>
      </c>
      <c r="D32" s="540">
        <v>958</v>
      </c>
      <c r="E32" s="493">
        <v>0</v>
      </c>
      <c r="F32" s="540">
        <v>440</v>
      </c>
      <c r="G32" s="541">
        <f t="shared" si="0"/>
        <v>85322</v>
      </c>
      <c r="H32" s="544">
        <v>246</v>
      </c>
      <c r="I32" s="547">
        <f t="shared" si="1"/>
        <v>2098.92</v>
      </c>
      <c r="J32" s="547">
        <f t="shared" si="2"/>
        <v>2098.92</v>
      </c>
      <c r="K32" s="545"/>
      <c r="L32" s="545"/>
      <c r="M32" s="545"/>
      <c r="N32" s="545"/>
      <c r="O32" s="545"/>
      <c r="P32" s="545"/>
      <c r="Q32" s="545"/>
      <c r="R32" s="545"/>
      <c r="S32" s="547">
        <v>131.5</v>
      </c>
      <c r="T32" s="548">
        <f t="shared" si="3"/>
        <v>27.6</v>
      </c>
    </row>
    <row r="33" spans="1:86" ht="22.5" customHeight="1" x14ac:dyDescent="0.2">
      <c r="A33" s="260">
        <v>23</v>
      </c>
      <c r="B33" s="419" t="s">
        <v>912</v>
      </c>
      <c r="C33" s="540">
        <v>94067</v>
      </c>
      <c r="D33" s="540">
        <v>2661</v>
      </c>
      <c r="E33" s="493">
        <v>0</v>
      </c>
      <c r="F33" s="540">
        <v>2135</v>
      </c>
      <c r="G33" s="541">
        <f t="shared" si="0"/>
        <v>98863</v>
      </c>
      <c r="H33" s="544">
        <v>246</v>
      </c>
      <c r="I33" s="547">
        <f t="shared" si="1"/>
        <v>2432.0300000000002</v>
      </c>
      <c r="J33" s="547">
        <f t="shared" si="2"/>
        <v>2432.0300000000002</v>
      </c>
      <c r="K33" s="545"/>
      <c r="L33" s="545"/>
      <c r="M33" s="545"/>
      <c r="N33" s="545"/>
      <c r="O33" s="545"/>
      <c r="P33" s="545"/>
      <c r="Q33" s="545"/>
      <c r="R33" s="545"/>
      <c r="S33" s="547">
        <v>131.5</v>
      </c>
      <c r="T33" s="548">
        <f t="shared" si="3"/>
        <v>31.98</v>
      </c>
    </row>
    <row r="34" spans="1:86" ht="22.5" customHeight="1" x14ac:dyDescent="0.2">
      <c r="A34" s="260">
        <v>24</v>
      </c>
      <c r="B34" s="419" t="s">
        <v>913</v>
      </c>
      <c r="C34" s="540">
        <v>109331</v>
      </c>
      <c r="D34" s="540">
        <v>436</v>
      </c>
      <c r="E34" s="493">
        <v>0</v>
      </c>
      <c r="F34" s="540">
        <v>292</v>
      </c>
      <c r="G34" s="541">
        <f t="shared" si="0"/>
        <v>110059</v>
      </c>
      <c r="H34" s="544">
        <v>246</v>
      </c>
      <c r="I34" s="547">
        <f t="shared" si="1"/>
        <v>2707.45</v>
      </c>
      <c r="J34" s="547">
        <f t="shared" si="2"/>
        <v>2707.45</v>
      </c>
      <c r="K34" s="545"/>
      <c r="L34" s="545"/>
      <c r="M34" s="545"/>
      <c r="N34" s="545"/>
      <c r="O34" s="545"/>
      <c r="P34" s="545"/>
      <c r="Q34" s="545"/>
      <c r="R34" s="545"/>
      <c r="S34" s="547">
        <v>131.5</v>
      </c>
      <c r="T34" s="548">
        <f t="shared" si="3"/>
        <v>35.6</v>
      </c>
    </row>
    <row r="35" spans="1:86" ht="22.5" customHeight="1" x14ac:dyDescent="0.2">
      <c r="A35" s="260">
        <v>25</v>
      </c>
      <c r="B35" s="419" t="s">
        <v>919</v>
      </c>
      <c r="C35" s="540">
        <v>54135</v>
      </c>
      <c r="D35" s="540">
        <v>2329</v>
      </c>
      <c r="E35" s="493">
        <v>0</v>
      </c>
      <c r="F35" s="540">
        <v>1377</v>
      </c>
      <c r="G35" s="541">
        <f t="shared" si="0"/>
        <v>57841</v>
      </c>
      <c r="H35" s="544">
        <v>246</v>
      </c>
      <c r="I35" s="547">
        <f t="shared" si="1"/>
        <v>1422.89</v>
      </c>
      <c r="J35" s="547">
        <f t="shared" si="2"/>
        <v>1422.89</v>
      </c>
      <c r="K35" s="545"/>
      <c r="L35" s="545"/>
      <c r="M35" s="545"/>
      <c r="N35" s="545"/>
      <c r="O35" s="545"/>
      <c r="P35" s="545"/>
      <c r="Q35" s="545"/>
      <c r="R35" s="545"/>
      <c r="S35" s="547">
        <v>131.5</v>
      </c>
      <c r="T35" s="548">
        <f t="shared" si="3"/>
        <v>18.71</v>
      </c>
    </row>
    <row r="36" spans="1:86" ht="22.5" customHeight="1" x14ac:dyDescent="0.2">
      <c r="A36" s="260">
        <v>26</v>
      </c>
      <c r="B36" s="419" t="s">
        <v>914</v>
      </c>
      <c r="C36" s="540">
        <v>29400</v>
      </c>
      <c r="D36" s="540">
        <v>289</v>
      </c>
      <c r="E36" s="493">
        <v>0</v>
      </c>
      <c r="F36" s="540">
        <v>30</v>
      </c>
      <c r="G36" s="541">
        <f t="shared" si="0"/>
        <v>29719</v>
      </c>
      <c r="H36" s="544">
        <v>246</v>
      </c>
      <c r="I36" s="547">
        <f t="shared" si="1"/>
        <v>731.09</v>
      </c>
      <c r="J36" s="547">
        <f t="shared" si="2"/>
        <v>731.09</v>
      </c>
      <c r="K36" s="545"/>
      <c r="L36" s="545"/>
      <c r="M36" s="545"/>
      <c r="N36" s="545"/>
      <c r="O36" s="545"/>
      <c r="P36" s="545"/>
      <c r="Q36" s="545"/>
      <c r="R36" s="545"/>
      <c r="S36" s="547">
        <v>131.5</v>
      </c>
      <c r="T36" s="548">
        <f t="shared" si="3"/>
        <v>9.61</v>
      </c>
    </row>
    <row r="37" spans="1:86" ht="22.5" customHeight="1" x14ac:dyDescent="0.2">
      <c r="A37" s="260">
        <v>27</v>
      </c>
      <c r="B37" s="419" t="s">
        <v>915</v>
      </c>
      <c r="C37" s="540">
        <v>60621</v>
      </c>
      <c r="D37" s="540">
        <v>703</v>
      </c>
      <c r="E37" s="493">
        <v>0</v>
      </c>
      <c r="F37" s="540">
        <v>419</v>
      </c>
      <c r="G37" s="541">
        <f t="shared" si="0"/>
        <v>61743</v>
      </c>
      <c r="H37" s="544">
        <v>246</v>
      </c>
      <c r="I37" s="547">
        <f t="shared" si="1"/>
        <v>1518.88</v>
      </c>
      <c r="J37" s="547">
        <f t="shared" si="2"/>
        <v>1518.88</v>
      </c>
      <c r="K37" s="545"/>
      <c r="L37" s="545"/>
      <c r="M37" s="545"/>
      <c r="N37" s="545"/>
      <c r="O37" s="545"/>
      <c r="P37" s="545"/>
      <c r="Q37" s="545"/>
      <c r="R37" s="545"/>
      <c r="S37" s="547">
        <v>131.5</v>
      </c>
      <c r="T37" s="548">
        <f t="shared" si="3"/>
        <v>19.97</v>
      </c>
    </row>
    <row r="38" spans="1:86" ht="14.25" x14ac:dyDescent="0.2">
      <c r="A38" s="306" t="s">
        <v>18</v>
      </c>
      <c r="B38" s="261"/>
      <c r="C38" s="52">
        <f>SUM(C11:C37)</f>
        <v>1763411</v>
      </c>
      <c r="D38" s="52">
        <f>SUM(D11:D37)</f>
        <v>34816</v>
      </c>
      <c r="E38" s="52">
        <f>SUM(E11:E37)</f>
        <v>0</v>
      </c>
      <c r="F38" s="52">
        <f>SUM(F11:F37)</f>
        <v>10710</v>
      </c>
      <c r="G38" s="52">
        <f>SUM(G11:G37)</f>
        <v>1808937</v>
      </c>
      <c r="H38" s="544">
        <v>246</v>
      </c>
      <c r="I38" s="713">
        <f>SUM(I11:I37)</f>
        <v>44499.849999999991</v>
      </c>
      <c r="J38" s="546">
        <f t="shared" si="2"/>
        <v>44499.849999999991</v>
      </c>
      <c r="K38" s="546"/>
      <c r="L38" s="546"/>
      <c r="M38" s="546"/>
      <c r="N38" s="546"/>
      <c r="O38" s="546"/>
      <c r="P38" s="546"/>
      <c r="Q38" s="546"/>
      <c r="R38" s="546"/>
      <c r="S38" s="720">
        <v>131.5</v>
      </c>
      <c r="T38" s="548">
        <f t="shared" si="3"/>
        <v>585.16999999999996</v>
      </c>
      <c r="V38" s="642">
        <f>J38*1315/100000</f>
        <v>585.17302749999988</v>
      </c>
    </row>
    <row r="39" spans="1:86" x14ac:dyDescent="0.2">
      <c r="A39" s="263"/>
      <c r="B39" s="263"/>
      <c r="C39" s="263"/>
      <c r="D39" s="263"/>
      <c r="E39" s="263"/>
      <c r="F39" s="263"/>
      <c r="G39" s="263"/>
      <c r="H39" s="263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</row>
    <row r="40" spans="1:86" x14ac:dyDescent="0.2">
      <c r="A40" s="646" t="s">
        <v>8</v>
      </c>
      <c r="B40" s="647"/>
      <c r="C40" s="647"/>
      <c r="D40" s="648"/>
      <c r="E40" s="648"/>
      <c r="F40" s="648"/>
      <c r="G40" s="648"/>
      <c r="H40" s="648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</row>
    <row r="41" spans="1:86" x14ac:dyDescent="0.2">
      <c r="A41" s="644" t="s">
        <v>9</v>
      </c>
      <c r="B41" s="644"/>
      <c r="C41" s="644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</row>
    <row r="42" spans="1:86" x14ac:dyDescent="0.2">
      <c r="A42" s="644" t="s">
        <v>10</v>
      </c>
      <c r="B42" s="644"/>
      <c r="C42" s="644"/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2"/>
      <c r="R42" s="642"/>
      <c r="S42" s="642"/>
      <c r="T42" s="642"/>
      <c r="U42" s="642"/>
    </row>
    <row r="43" spans="1:86" x14ac:dyDescent="0.2">
      <c r="A43" s="644"/>
      <c r="B43" s="644"/>
      <c r="C43" s="644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</row>
    <row r="44" spans="1:86" s="641" customFormat="1" x14ac:dyDescent="0.2">
      <c r="A44" s="645"/>
      <c r="B44" s="645"/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45"/>
      <c r="W44" s="645"/>
      <c r="X44" s="645"/>
      <c r="Y44" s="645"/>
      <c r="Z44" s="645"/>
      <c r="AA44" s="645"/>
      <c r="AB44" s="645"/>
      <c r="AC44" s="645"/>
      <c r="AD44" s="645"/>
      <c r="AE44" s="645"/>
      <c r="AF44" s="645"/>
      <c r="AG44" s="645"/>
      <c r="AH44" s="645"/>
      <c r="AI44" s="645"/>
      <c r="AJ44" s="645"/>
      <c r="AK44" s="645"/>
      <c r="AL44" s="645"/>
      <c r="AM44" s="645"/>
      <c r="AN44" s="645"/>
      <c r="AO44" s="645"/>
      <c r="AP44" s="645"/>
      <c r="AQ44" s="645"/>
      <c r="AR44" s="645"/>
      <c r="AS44" s="645"/>
      <c r="AT44" s="645"/>
      <c r="AU44" s="645"/>
      <c r="AV44" s="645"/>
      <c r="AW44" s="645"/>
      <c r="AX44" s="645"/>
      <c r="AY44" s="645"/>
      <c r="AZ44" s="645"/>
      <c r="BA44" s="645"/>
      <c r="BB44" s="645"/>
      <c r="BC44" s="645"/>
      <c r="BD44" s="645"/>
      <c r="BE44" s="645"/>
      <c r="BF44" s="645"/>
      <c r="BG44" s="645"/>
      <c r="BH44" s="645"/>
      <c r="BI44" s="645"/>
      <c r="BJ44" s="645"/>
      <c r="BK44" s="645"/>
      <c r="BL44" s="645"/>
      <c r="BM44" s="645"/>
      <c r="BN44" s="645"/>
      <c r="BO44" s="645"/>
      <c r="BP44" s="645"/>
      <c r="BQ44" s="645"/>
      <c r="BR44" s="645"/>
      <c r="BS44" s="645"/>
      <c r="BT44" s="645"/>
      <c r="BU44" s="645"/>
      <c r="BV44" s="645"/>
      <c r="BW44" s="645"/>
      <c r="BX44" s="645"/>
      <c r="BY44" s="645"/>
      <c r="BZ44" s="645"/>
      <c r="CA44" s="645"/>
      <c r="CB44" s="645"/>
      <c r="CC44" s="645"/>
      <c r="CD44" s="645"/>
      <c r="CE44" s="645"/>
      <c r="CF44" s="645"/>
      <c r="CG44" s="645"/>
      <c r="CH44" s="645"/>
    </row>
    <row r="45" spans="1:86" s="641" customFormat="1" ht="16.5" customHeight="1" x14ac:dyDescent="0.2">
      <c r="A45" s="645"/>
      <c r="B45" s="64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810" t="s">
        <v>13</v>
      </c>
      <c r="Q45" s="810"/>
      <c r="R45" s="810"/>
      <c r="S45" s="810"/>
      <c r="T45" s="810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645"/>
      <c r="AL45" s="645"/>
      <c r="AM45" s="645"/>
      <c r="AN45" s="645"/>
      <c r="AO45" s="645"/>
      <c r="AP45" s="645"/>
      <c r="AQ45" s="645"/>
      <c r="AR45" s="645"/>
      <c r="AS45" s="645"/>
      <c r="AT45" s="645"/>
      <c r="AU45" s="645"/>
      <c r="AV45" s="645"/>
      <c r="AW45" s="645"/>
      <c r="AX45" s="645"/>
      <c r="AY45" s="645"/>
      <c r="AZ45" s="645"/>
      <c r="BA45" s="645"/>
      <c r="BB45" s="645"/>
      <c r="BC45" s="645"/>
      <c r="BD45" s="645"/>
      <c r="BE45" s="645"/>
      <c r="BF45" s="645"/>
      <c r="BG45" s="645"/>
      <c r="BH45" s="645"/>
      <c r="BI45" s="645"/>
      <c r="BJ45" s="645"/>
      <c r="BK45" s="645"/>
      <c r="BL45" s="645"/>
      <c r="BM45" s="645"/>
      <c r="BN45" s="645"/>
      <c r="BO45" s="645"/>
      <c r="BP45" s="645"/>
      <c r="BQ45" s="645"/>
      <c r="BR45" s="645"/>
      <c r="BS45" s="645"/>
      <c r="BT45" s="645"/>
      <c r="BU45" s="645"/>
      <c r="BV45" s="645"/>
      <c r="BW45" s="645"/>
      <c r="BX45" s="645"/>
      <c r="BY45" s="645"/>
      <c r="BZ45" s="645"/>
      <c r="CA45" s="645"/>
      <c r="CB45" s="645"/>
      <c r="CC45" s="645"/>
      <c r="CD45" s="645"/>
      <c r="CE45" s="645"/>
      <c r="CF45" s="645"/>
      <c r="CG45" s="645"/>
      <c r="CH45" s="645"/>
    </row>
    <row r="46" spans="1:86" s="641" customFormat="1" ht="12.75" customHeight="1" x14ac:dyDescent="0.2">
      <c r="A46" s="645"/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810" t="s">
        <v>14</v>
      </c>
      <c r="Q46" s="810"/>
      <c r="R46" s="810"/>
      <c r="S46" s="810"/>
      <c r="T46" s="810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5"/>
      <c r="BG46" s="645"/>
      <c r="BH46" s="645"/>
      <c r="BI46" s="645"/>
      <c r="BJ46" s="645"/>
      <c r="BK46" s="645"/>
      <c r="BL46" s="645"/>
      <c r="BM46" s="645"/>
      <c r="BN46" s="645"/>
      <c r="BO46" s="645"/>
      <c r="BP46" s="645"/>
      <c r="BQ46" s="645"/>
      <c r="BR46" s="645"/>
      <c r="BS46" s="645"/>
      <c r="BT46" s="645"/>
      <c r="BU46" s="645"/>
      <c r="BV46" s="645"/>
      <c r="BW46" s="645"/>
      <c r="BX46" s="645"/>
      <c r="BY46" s="645"/>
      <c r="BZ46" s="645"/>
      <c r="CA46" s="645"/>
      <c r="CB46" s="645"/>
      <c r="CC46" s="645"/>
      <c r="CD46" s="645"/>
      <c r="CE46" s="645"/>
      <c r="CF46" s="645"/>
      <c r="CG46" s="645"/>
      <c r="CH46" s="645"/>
    </row>
    <row r="47" spans="1:86" s="641" customFormat="1" ht="12.75" customHeight="1" x14ac:dyDescent="0.2">
      <c r="A47" s="645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810" t="s">
        <v>918</v>
      </c>
      <c r="Q47" s="810"/>
      <c r="R47" s="810"/>
      <c r="S47" s="810"/>
      <c r="T47" s="810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5"/>
      <c r="BB47" s="645"/>
      <c r="BC47" s="645"/>
      <c r="BD47" s="645"/>
      <c r="BE47" s="645"/>
      <c r="BF47" s="645"/>
      <c r="BG47" s="645"/>
      <c r="BH47" s="645"/>
      <c r="BI47" s="645"/>
      <c r="BJ47" s="645"/>
      <c r="BK47" s="645"/>
      <c r="BL47" s="645"/>
      <c r="BM47" s="645"/>
      <c r="BN47" s="645"/>
      <c r="BO47" s="645"/>
      <c r="BP47" s="645"/>
      <c r="BQ47" s="645"/>
      <c r="BR47" s="645"/>
      <c r="BS47" s="645"/>
      <c r="BT47" s="645"/>
      <c r="BU47" s="645"/>
      <c r="BV47" s="645"/>
      <c r="BW47" s="645"/>
      <c r="BX47" s="645"/>
      <c r="BY47" s="645"/>
      <c r="BZ47" s="645"/>
      <c r="CA47" s="645"/>
      <c r="CB47" s="645"/>
      <c r="CC47" s="645"/>
      <c r="CD47" s="645"/>
      <c r="CE47" s="645"/>
      <c r="CF47" s="645"/>
      <c r="CG47" s="645"/>
      <c r="CH47" s="645"/>
    </row>
    <row r="48" spans="1:86" s="641" customFormat="1" ht="15" x14ac:dyDescent="0.25">
      <c r="A48" s="492" t="s">
        <v>12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57"/>
      <c r="Q48" s="207" t="s">
        <v>82</v>
      </c>
      <c r="R48" s="207"/>
      <c r="S48" s="207"/>
      <c r="T48" s="207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</row>
    <row r="49" spans="1:21" x14ac:dyDescent="0.2">
      <c r="A49" s="642"/>
      <c r="B49" s="642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2"/>
      <c r="S49" s="642"/>
      <c r="T49" s="642"/>
      <c r="U49" s="642"/>
    </row>
    <row r="50" spans="1:21" x14ac:dyDescent="0.2">
      <c r="A50" s="1105"/>
      <c r="B50" s="1105"/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  <c r="N50" s="1105"/>
      <c r="O50" s="1105"/>
      <c r="P50" s="1105"/>
      <c r="Q50" s="1105"/>
      <c r="R50" s="1105"/>
      <c r="S50" s="1105"/>
      <c r="T50" s="1105"/>
      <c r="U50" s="642"/>
    </row>
    <row r="51" spans="1:21" x14ac:dyDescent="0.2">
      <c r="A51" s="642"/>
      <c r="B51" s="642"/>
      <c r="C51" s="642"/>
      <c r="D51" s="642"/>
      <c r="E51" s="642"/>
      <c r="F51" s="642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</row>
    <row r="52" spans="1:21" x14ac:dyDescent="0.2">
      <c r="A52" s="642"/>
      <c r="B52" s="642"/>
      <c r="C52" s="642"/>
      <c r="D52" s="642"/>
      <c r="E52" s="642"/>
      <c r="F52" s="642"/>
      <c r="G52" s="642"/>
      <c r="H52" s="642"/>
      <c r="I52" s="642"/>
      <c r="J52" s="642"/>
      <c r="K52" s="642"/>
      <c r="L52" s="642"/>
      <c r="M52" s="642"/>
      <c r="N52" s="642"/>
      <c r="O52" s="642"/>
      <c r="P52" s="642"/>
      <c r="Q52" s="642"/>
      <c r="R52" s="642"/>
      <c r="S52" s="642"/>
      <c r="T52" s="642"/>
      <c r="U52" s="642"/>
    </row>
    <row r="53" spans="1:21" x14ac:dyDescent="0.2">
      <c r="A53" s="642"/>
      <c r="B53" s="642"/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  <c r="O53" s="642"/>
      <c r="P53" s="642"/>
      <c r="Q53" s="642"/>
      <c r="R53" s="642"/>
      <c r="S53" s="642"/>
      <c r="T53" s="642"/>
      <c r="U53" s="642"/>
    </row>
    <row r="54" spans="1:21" x14ac:dyDescent="0.2">
      <c r="A54" s="642"/>
      <c r="B54" s="642"/>
      <c r="C54" s="642"/>
      <c r="D54" s="642"/>
      <c r="E54" s="642"/>
      <c r="F54" s="642"/>
      <c r="G54" s="642"/>
      <c r="H54" s="642"/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2"/>
      <c r="T54" s="642"/>
      <c r="U54" s="642"/>
    </row>
    <row r="55" spans="1:21" x14ac:dyDescent="0.2">
      <c r="A55" s="642"/>
      <c r="B55" s="642"/>
      <c r="C55" s="642"/>
      <c r="D55" s="642"/>
      <c r="E55" s="642"/>
      <c r="F55" s="642"/>
      <c r="G55" s="642"/>
      <c r="H55" s="642"/>
      <c r="I55" s="642"/>
      <c r="J55" s="642"/>
      <c r="K55" s="642"/>
      <c r="L55" s="642"/>
      <c r="M55" s="642"/>
      <c r="N55" s="642"/>
      <c r="O55" s="642"/>
      <c r="P55" s="642"/>
      <c r="Q55" s="642"/>
      <c r="R55" s="642"/>
      <c r="S55" s="642"/>
      <c r="T55" s="642"/>
      <c r="U55" s="642"/>
    </row>
    <row r="56" spans="1:21" x14ac:dyDescent="0.2">
      <c r="A56" s="642"/>
      <c r="B56" s="642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42"/>
    </row>
    <row r="57" spans="1:21" x14ac:dyDescent="0.2">
      <c r="A57" s="642"/>
      <c r="B57" s="642"/>
      <c r="C57" s="642"/>
      <c r="D57" s="642"/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</row>
    <row r="58" spans="1:21" x14ac:dyDescent="0.2">
      <c r="A58" s="642"/>
      <c r="B58" s="642"/>
      <c r="C58" s="642"/>
      <c r="D58" s="642"/>
      <c r="E58" s="642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</row>
    <row r="59" spans="1:21" x14ac:dyDescent="0.2">
      <c r="A59" s="642"/>
      <c r="B59" s="642"/>
      <c r="C59" s="642"/>
      <c r="D59" s="642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2"/>
      <c r="P59" s="642"/>
      <c r="Q59" s="642"/>
      <c r="R59" s="642"/>
      <c r="S59" s="642"/>
      <c r="T59" s="642"/>
      <c r="U59" s="642"/>
    </row>
    <row r="60" spans="1:21" x14ac:dyDescent="0.2">
      <c r="A60" s="642"/>
      <c r="B60" s="642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</row>
    <row r="61" spans="1:21" x14ac:dyDescent="0.2">
      <c r="A61" s="642"/>
      <c r="B61" s="642"/>
      <c r="C61" s="642"/>
      <c r="D61" s="642"/>
      <c r="E61" s="642"/>
      <c r="F61" s="642"/>
      <c r="G61" s="642"/>
      <c r="H61" s="642"/>
      <c r="I61" s="642"/>
      <c r="J61" s="642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</row>
    <row r="62" spans="1:21" x14ac:dyDescent="0.2">
      <c r="A62" s="642"/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</row>
    <row r="63" spans="1:21" x14ac:dyDescent="0.2">
      <c r="A63" s="642"/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</row>
    <row r="64" spans="1:21" x14ac:dyDescent="0.2">
      <c r="A64" s="642"/>
      <c r="B64" s="642"/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642"/>
      <c r="O64" s="642"/>
      <c r="P64" s="642"/>
      <c r="Q64" s="642"/>
      <c r="R64" s="642"/>
      <c r="S64" s="642"/>
      <c r="T64" s="642"/>
      <c r="U64" s="642"/>
    </row>
    <row r="65" spans="1:21" x14ac:dyDescent="0.2">
      <c r="A65" s="642"/>
      <c r="B65" s="642"/>
      <c r="C65" s="642"/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</row>
    <row r="66" spans="1:21" x14ac:dyDescent="0.2">
      <c r="A66" s="642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</row>
    <row r="67" spans="1:21" x14ac:dyDescent="0.2">
      <c r="A67" s="642"/>
      <c r="B67" s="642"/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S67" s="642"/>
      <c r="T67" s="642"/>
      <c r="U67" s="642"/>
    </row>
    <row r="68" spans="1:21" x14ac:dyDescent="0.2">
      <c r="A68" s="642"/>
      <c r="B68" s="642"/>
      <c r="C68" s="642"/>
      <c r="D68" s="642"/>
      <c r="E68" s="642"/>
      <c r="F68" s="642"/>
      <c r="G68" s="642"/>
      <c r="H68" s="642"/>
      <c r="I68" s="642"/>
      <c r="J68" s="642"/>
      <c r="K68" s="642"/>
      <c r="L68" s="642"/>
      <c r="M68" s="642"/>
      <c r="N68" s="642"/>
      <c r="O68" s="642"/>
      <c r="P68" s="642"/>
      <c r="Q68" s="642"/>
      <c r="R68" s="642"/>
      <c r="S68" s="642"/>
      <c r="T68" s="642"/>
      <c r="U68" s="642"/>
    </row>
    <row r="69" spans="1:21" x14ac:dyDescent="0.2">
      <c r="A69" s="642"/>
      <c r="B69" s="642"/>
      <c r="C69" s="642"/>
      <c r="D69" s="642"/>
      <c r="E69" s="642"/>
      <c r="F69" s="642"/>
      <c r="G69" s="642"/>
      <c r="H69" s="642"/>
      <c r="I69" s="642"/>
      <c r="J69" s="642"/>
      <c r="K69" s="642"/>
      <c r="L69" s="642"/>
      <c r="M69" s="642"/>
      <c r="N69" s="642"/>
      <c r="O69" s="642"/>
      <c r="P69" s="642"/>
      <c r="Q69" s="642"/>
      <c r="R69" s="642"/>
      <c r="S69" s="642"/>
      <c r="T69" s="642"/>
      <c r="U69" s="642"/>
    </row>
    <row r="70" spans="1:21" x14ac:dyDescent="0.2">
      <c r="A70" s="642"/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</row>
    <row r="71" spans="1:21" x14ac:dyDescent="0.2">
      <c r="A71" s="642"/>
      <c r="B71" s="642"/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42"/>
    </row>
    <row r="72" spans="1:21" x14ac:dyDescent="0.2">
      <c r="A72" s="642"/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</row>
    <row r="73" spans="1:21" x14ac:dyDescent="0.2">
      <c r="A73" s="642"/>
      <c r="B73" s="642"/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M73" s="642"/>
      <c r="N73" s="642"/>
      <c r="O73" s="642"/>
      <c r="P73" s="642"/>
      <c r="Q73" s="642"/>
      <c r="R73" s="642"/>
      <c r="S73" s="642"/>
      <c r="T73" s="642"/>
      <c r="U73" s="642"/>
    </row>
    <row r="74" spans="1:21" x14ac:dyDescent="0.2">
      <c r="A74" s="642"/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42"/>
      <c r="N74" s="642"/>
      <c r="O74" s="642"/>
      <c r="P74" s="642"/>
      <c r="Q74" s="642"/>
      <c r="R74" s="642"/>
      <c r="S74" s="642"/>
      <c r="T74" s="642"/>
      <c r="U74" s="642"/>
    </row>
    <row r="75" spans="1:21" x14ac:dyDescent="0.2">
      <c r="A75" s="642"/>
      <c r="B75" s="642"/>
      <c r="C75" s="642"/>
      <c r="D75" s="642"/>
      <c r="E75" s="642"/>
      <c r="F75" s="642"/>
      <c r="G75" s="642"/>
      <c r="H75" s="642"/>
      <c r="I75" s="642"/>
      <c r="J75" s="642"/>
      <c r="K75" s="642"/>
      <c r="L75" s="642"/>
      <c r="M75" s="642"/>
      <c r="N75" s="642"/>
      <c r="O75" s="642"/>
      <c r="P75" s="642"/>
      <c r="Q75" s="642"/>
      <c r="R75" s="642"/>
      <c r="S75" s="642"/>
      <c r="T75" s="642"/>
      <c r="U75" s="642"/>
    </row>
    <row r="76" spans="1:21" x14ac:dyDescent="0.2">
      <c r="A76" s="642"/>
      <c r="B76" s="642"/>
      <c r="C76" s="642"/>
      <c r="D76" s="642"/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</row>
    <row r="77" spans="1:21" x14ac:dyDescent="0.2">
      <c r="A77" s="642"/>
      <c r="B77" s="642"/>
      <c r="C77" s="642"/>
      <c r="D77" s="642"/>
      <c r="E77" s="642"/>
      <c r="F77" s="642"/>
      <c r="G77" s="642"/>
      <c r="H77" s="642"/>
      <c r="I77" s="642"/>
      <c r="J77" s="642"/>
      <c r="K77" s="642"/>
      <c r="L77" s="642"/>
      <c r="M77" s="642"/>
      <c r="N77" s="642"/>
      <c r="O77" s="642"/>
      <c r="P77" s="642"/>
      <c r="Q77" s="642"/>
      <c r="R77" s="642"/>
      <c r="S77" s="642"/>
      <c r="T77" s="642"/>
      <c r="U77" s="642"/>
    </row>
    <row r="78" spans="1:21" x14ac:dyDescent="0.2">
      <c r="A78" s="642"/>
      <c r="B78" s="642"/>
      <c r="C78" s="642"/>
      <c r="D78" s="642"/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2"/>
      <c r="P78" s="642"/>
      <c r="Q78" s="642"/>
      <c r="R78" s="642"/>
      <c r="S78" s="642"/>
      <c r="T78" s="642"/>
      <c r="U78" s="642"/>
    </row>
    <row r="79" spans="1:21" x14ac:dyDescent="0.2">
      <c r="A79" s="642"/>
      <c r="B79" s="642"/>
      <c r="C79" s="642"/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</row>
    <row r="80" spans="1:21" x14ac:dyDescent="0.2">
      <c r="A80" s="642"/>
      <c r="B80" s="642"/>
      <c r="C80" s="642"/>
      <c r="D80" s="642"/>
      <c r="E80" s="642"/>
      <c r="F80" s="642"/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</row>
    <row r="81" spans="1:21" x14ac:dyDescent="0.2">
      <c r="A81" s="642"/>
      <c r="B81" s="642"/>
      <c r="C81" s="642"/>
      <c r="D81" s="642"/>
      <c r="E81" s="642"/>
      <c r="F81" s="642"/>
      <c r="G81" s="642"/>
      <c r="H81" s="642"/>
      <c r="I81" s="642"/>
      <c r="J81" s="642"/>
      <c r="K81" s="642"/>
      <c r="L81" s="642"/>
      <c r="M81" s="642"/>
      <c r="N81" s="642"/>
      <c r="O81" s="642"/>
      <c r="P81" s="642"/>
      <c r="Q81" s="642"/>
      <c r="R81" s="642"/>
      <c r="S81" s="642"/>
      <c r="T81" s="642"/>
      <c r="U81" s="642"/>
    </row>
    <row r="82" spans="1:21" x14ac:dyDescent="0.2">
      <c r="A82" s="642"/>
      <c r="B82" s="642"/>
      <c r="C82" s="642"/>
      <c r="D82" s="642"/>
      <c r="E82" s="642"/>
      <c r="F82" s="642"/>
      <c r="G82" s="642"/>
      <c r="H82" s="642"/>
      <c r="I82" s="642"/>
      <c r="J82" s="642"/>
      <c r="K82" s="642"/>
      <c r="L82" s="642"/>
      <c r="M82" s="642"/>
      <c r="N82" s="642"/>
      <c r="O82" s="642"/>
      <c r="P82" s="642"/>
      <c r="Q82" s="642"/>
      <c r="R82" s="642"/>
      <c r="S82" s="642"/>
      <c r="T82" s="642"/>
      <c r="U82" s="642"/>
    </row>
    <row r="83" spans="1:21" x14ac:dyDescent="0.2">
      <c r="A83" s="642"/>
      <c r="B83" s="642"/>
      <c r="C83" s="642"/>
      <c r="D83" s="642"/>
      <c r="E83" s="642"/>
      <c r="F83" s="642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</row>
    <row r="84" spans="1:21" x14ac:dyDescent="0.2">
      <c r="A84" s="642"/>
      <c r="B84" s="642"/>
      <c r="C84" s="642"/>
      <c r="D84" s="642"/>
      <c r="E84" s="642"/>
      <c r="F84" s="642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</row>
    <row r="85" spans="1:21" x14ac:dyDescent="0.2">
      <c r="A85" s="642"/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642"/>
    </row>
    <row r="86" spans="1:21" x14ac:dyDescent="0.2">
      <c r="A86" s="642"/>
      <c r="B86" s="642"/>
      <c r="C86" s="642"/>
      <c r="D86" s="642"/>
      <c r="E86" s="642"/>
      <c r="F86" s="642"/>
      <c r="G86" s="642"/>
      <c r="H86" s="642"/>
      <c r="I86" s="642"/>
      <c r="J86" s="642"/>
      <c r="K86" s="642"/>
      <c r="L86" s="642"/>
      <c r="M86" s="642"/>
      <c r="N86" s="642"/>
      <c r="O86" s="642"/>
      <c r="P86" s="642"/>
      <c r="Q86" s="642"/>
      <c r="R86" s="642"/>
      <c r="S86" s="642"/>
      <c r="T86" s="642"/>
      <c r="U86" s="642"/>
    </row>
    <row r="87" spans="1:21" x14ac:dyDescent="0.2">
      <c r="A87" s="642"/>
      <c r="B87" s="642"/>
      <c r="C87" s="642"/>
      <c r="D87" s="642"/>
      <c r="E87" s="642"/>
      <c r="F87" s="642"/>
      <c r="G87" s="642"/>
      <c r="H87" s="642"/>
      <c r="I87" s="642"/>
      <c r="J87" s="642"/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</row>
    <row r="88" spans="1:21" x14ac:dyDescent="0.2">
      <c r="A88" s="642"/>
      <c r="B88" s="642"/>
      <c r="C88" s="642"/>
      <c r="D88" s="642"/>
      <c r="E88" s="642"/>
      <c r="F88" s="642"/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</row>
    <row r="89" spans="1:21" x14ac:dyDescent="0.2">
      <c r="A89" s="642"/>
      <c r="B89" s="642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</row>
    <row r="90" spans="1:21" x14ac:dyDescent="0.2">
      <c r="A90" s="642"/>
      <c r="B90" s="642"/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</row>
    <row r="91" spans="1:21" x14ac:dyDescent="0.2">
      <c r="A91" s="642"/>
      <c r="B91" s="642"/>
      <c r="C91" s="642"/>
      <c r="D91" s="642"/>
      <c r="E91" s="642"/>
      <c r="F91" s="642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</row>
    <row r="92" spans="1:21" x14ac:dyDescent="0.2">
      <c r="A92" s="642"/>
      <c r="B92" s="642"/>
      <c r="C92" s="642"/>
      <c r="D92" s="642"/>
      <c r="E92" s="642"/>
      <c r="F92" s="642"/>
      <c r="G92" s="642"/>
      <c r="H92" s="642"/>
      <c r="I92" s="642"/>
      <c r="J92" s="642"/>
      <c r="K92" s="642"/>
      <c r="L92" s="642"/>
      <c r="M92" s="642"/>
      <c r="N92" s="642"/>
      <c r="O92" s="642"/>
      <c r="P92" s="642"/>
      <c r="Q92" s="642"/>
      <c r="R92" s="642"/>
      <c r="S92" s="642"/>
      <c r="T92" s="642"/>
      <c r="U92" s="642"/>
    </row>
    <row r="93" spans="1:21" x14ac:dyDescent="0.2">
      <c r="A93" s="642"/>
      <c r="B93" s="642"/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</row>
    <row r="94" spans="1:21" x14ac:dyDescent="0.2">
      <c r="A94" s="642"/>
      <c r="B94" s="642"/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</row>
    <row r="95" spans="1:21" x14ac:dyDescent="0.2">
      <c r="A95" s="642"/>
      <c r="B95" s="642"/>
      <c r="C95" s="642"/>
      <c r="D95" s="642"/>
      <c r="E95" s="642"/>
      <c r="F95" s="642"/>
      <c r="G95" s="642"/>
      <c r="H95" s="642"/>
      <c r="I95" s="642"/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</row>
    <row r="96" spans="1:21" x14ac:dyDescent="0.2">
      <c r="A96" s="642"/>
      <c r="B96" s="642"/>
      <c r="C96" s="642"/>
      <c r="D96" s="642"/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2"/>
      <c r="Q96" s="642"/>
      <c r="R96" s="642"/>
      <c r="S96" s="642"/>
      <c r="T96" s="642"/>
      <c r="U96" s="642"/>
    </row>
    <row r="97" spans="1:21" x14ac:dyDescent="0.2">
      <c r="A97" s="642"/>
      <c r="B97" s="642"/>
      <c r="C97" s="642"/>
      <c r="D97" s="642"/>
      <c r="E97" s="642"/>
      <c r="F97" s="642"/>
      <c r="G97" s="642"/>
      <c r="H97" s="642"/>
      <c r="I97" s="642"/>
      <c r="J97" s="642"/>
      <c r="K97" s="642"/>
      <c r="L97" s="642"/>
      <c r="M97" s="642"/>
      <c r="N97" s="642"/>
      <c r="O97" s="642"/>
      <c r="P97" s="642"/>
      <c r="Q97" s="642"/>
      <c r="R97" s="642"/>
      <c r="S97" s="642"/>
      <c r="T97" s="642"/>
      <c r="U97" s="642"/>
    </row>
    <row r="98" spans="1:21" x14ac:dyDescent="0.2">
      <c r="A98" s="642"/>
      <c r="B98" s="642"/>
      <c r="C98" s="642"/>
      <c r="D98" s="642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</row>
    <row r="99" spans="1:21" x14ac:dyDescent="0.2">
      <c r="A99" s="642"/>
      <c r="B99" s="642"/>
      <c r="C99" s="642"/>
      <c r="D99" s="642"/>
      <c r="E99" s="642"/>
      <c r="F99" s="642"/>
      <c r="G99" s="642"/>
      <c r="H99" s="642"/>
      <c r="I99" s="642"/>
      <c r="J99" s="642"/>
      <c r="K99" s="642"/>
      <c r="L99" s="642"/>
      <c r="M99" s="642"/>
      <c r="N99" s="642"/>
      <c r="O99" s="642"/>
      <c r="P99" s="642"/>
      <c r="Q99" s="642"/>
      <c r="R99" s="642"/>
      <c r="S99" s="642"/>
      <c r="T99" s="642"/>
      <c r="U99" s="642"/>
    </row>
    <row r="100" spans="1:21" x14ac:dyDescent="0.2">
      <c r="A100" s="642"/>
      <c r="B100" s="642"/>
      <c r="C100" s="642"/>
      <c r="D100" s="642"/>
      <c r="E100" s="642"/>
      <c r="F100" s="642"/>
      <c r="G100" s="642"/>
      <c r="H100" s="642"/>
      <c r="I100" s="642"/>
      <c r="J100" s="642"/>
      <c r="K100" s="642"/>
      <c r="L100" s="642"/>
      <c r="M100" s="642"/>
      <c r="N100" s="642"/>
      <c r="O100" s="642"/>
      <c r="P100" s="642"/>
      <c r="Q100" s="642"/>
      <c r="R100" s="642"/>
      <c r="S100" s="642"/>
      <c r="T100" s="642"/>
      <c r="U100" s="642"/>
    </row>
    <row r="101" spans="1:21" x14ac:dyDescent="0.2">
      <c r="A101" s="642"/>
      <c r="B101" s="642"/>
      <c r="C101" s="642"/>
      <c r="D101" s="642"/>
      <c r="E101" s="642"/>
      <c r="F101" s="642"/>
      <c r="G101" s="642"/>
      <c r="H101" s="642"/>
      <c r="I101" s="642"/>
      <c r="J101" s="642"/>
      <c r="K101" s="642"/>
      <c r="L101" s="642"/>
      <c r="M101" s="642"/>
      <c r="N101" s="642"/>
      <c r="O101" s="642"/>
      <c r="P101" s="642"/>
      <c r="Q101" s="642"/>
      <c r="R101" s="642"/>
      <c r="S101" s="642"/>
      <c r="T101" s="642"/>
      <c r="U101" s="642"/>
    </row>
    <row r="102" spans="1:21" x14ac:dyDescent="0.2">
      <c r="A102" s="642"/>
      <c r="B102" s="642"/>
      <c r="C102" s="642"/>
      <c r="D102" s="642"/>
      <c r="E102" s="642"/>
      <c r="F102" s="642"/>
      <c r="G102" s="642"/>
      <c r="H102" s="642"/>
      <c r="I102" s="642"/>
      <c r="J102" s="642"/>
      <c r="K102" s="642"/>
      <c r="L102" s="642"/>
      <c r="M102" s="642"/>
      <c r="N102" s="642"/>
      <c r="O102" s="642"/>
      <c r="P102" s="642"/>
      <c r="Q102" s="642"/>
      <c r="R102" s="642"/>
      <c r="S102" s="642"/>
      <c r="T102" s="642"/>
      <c r="U102" s="642"/>
    </row>
    <row r="103" spans="1:21" x14ac:dyDescent="0.2">
      <c r="A103" s="642"/>
      <c r="B103" s="642"/>
      <c r="C103" s="642"/>
      <c r="D103" s="642"/>
      <c r="E103" s="642"/>
      <c r="F103" s="642"/>
      <c r="G103" s="642"/>
      <c r="H103" s="642"/>
      <c r="I103" s="642"/>
      <c r="J103" s="642"/>
      <c r="K103" s="642"/>
      <c r="L103" s="642"/>
      <c r="M103" s="642"/>
      <c r="N103" s="642"/>
      <c r="O103" s="642"/>
      <c r="P103" s="642"/>
      <c r="Q103" s="642"/>
      <c r="R103" s="642"/>
      <c r="S103" s="642"/>
      <c r="T103" s="642"/>
      <c r="U103" s="642"/>
    </row>
    <row r="104" spans="1:21" x14ac:dyDescent="0.2">
      <c r="A104" s="642"/>
      <c r="B104" s="642"/>
      <c r="C104" s="642"/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642"/>
      <c r="R104" s="642"/>
      <c r="S104" s="642"/>
      <c r="T104" s="642"/>
      <c r="U104" s="642"/>
    </row>
    <row r="105" spans="1:21" x14ac:dyDescent="0.2">
      <c r="A105" s="642"/>
      <c r="B105" s="642"/>
      <c r="C105" s="642"/>
      <c r="D105" s="642"/>
      <c r="E105" s="642"/>
      <c r="F105" s="642"/>
      <c r="G105" s="642"/>
      <c r="H105" s="642"/>
      <c r="I105" s="642"/>
      <c r="J105" s="642"/>
      <c r="K105" s="642"/>
      <c r="L105" s="642"/>
      <c r="M105" s="642"/>
      <c r="N105" s="642"/>
      <c r="O105" s="642"/>
      <c r="P105" s="642"/>
      <c r="Q105" s="642"/>
      <c r="R105" s="642"/>
      <c r="S105" s="642"/>
      <c r="T105" s="642"/>
      <c r="U105" s="642"/>
    </row>
    <row r="106" spans="1:21" x14ac:dyDescent="0.2">
      <c r="A106" s="642"/>
      <c r="B106" s="642"/>
      <c r="C106" s="642"/>
      <c r="D106" s="642"/>
      <c r="E106" s="642"/>
      <c r="F106" s="642"/>
      <c r="G106" s="642"/>
      <c r="H106" s="642"/>
      <c r="I106" s="642"/>
      <c r="J106" s="642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</row>
    <row r="107" spans="1:21" x14ac:dyDescent="0.2">
      <c r="A107" s="642"/>
      <c r="B107" s="642"/>
      <c r="C107" s="642"/>
      <c r="D107" s="642"/>
      <c r="E107" s="642"/>
      <c r="F107" s="642"/>
      <c r="G107" s="642"/>
      <c r="H107" s="642"/>
      <c r="I107" s="642"/>
      <c r="J107" s="642"/>
      <c r="K107" s="642"/>
      <c r="L107" s="642"/>
      <c r="M107" s="642"/>
      <c r="N107" s="642"/>
      <c r="O107" s="642"/>
      <c r="P107" s="642"/>
      <c r="Q107" s="642"/>
      <c r="R107" s="642"/>
      <c r="S107" s="642"/>
      <c r="T107" s="642"/>
      <c r="U107" s="642"/>
    </row>
    <row r="108" spans="1:21" x14ac:dyDescent="0.2">
      <c r="A108" s="642"/>
      <c r="B108" s="642"/>
      <c r="C108" s="642"/>
      <c r="D108" s="642"/>
      <c r="E108" s="642"/>
      <c r="F108" s="642"/>
      <c r="G108" s="642"/>
      <c r="H108" s="642"/>
      <c r="I108" s="642"/>
      <c r="J108" s="642"/>
      <c r="K108" s="642"/>
      <c r="L108" s="642"/>
      <c r="M108" s="642"/>
      <c r="N108" s="642"/>
      <c r="O108" s="642"/>
      <c r="P108" s="642"/>
      <c r="Q108" s="642"/>
      <c r="R108" s="642"/>
      <c r="S108" s="642"/>
      <c r="T108" s="642"/>
      <c r="U108" s="642"/>
    </row>
    <row r="109" spans="1:21" x14ac:dyDescent="0.2">
      <c r="A109" s="642"/>
      <c r="B109" s="642"/>
      <c r="C109" s="642"/>
      <c r="D109" s="642"/>
      <c r="E109" s="642"/>
      <c r="F109" s="642"/>
      <c r="G109" s="642"/>
      <c r="H109" s="642"/>
      <c r="I109" s="642"/>
      <c r="J109" s="642"/>
      <c r="K109" s="642"/>
      <c r="L109" s="642"/>
      <c r="M109" s="642"/>
      <c r="N109" s="642"/>
      <c r="O109" s="642"/>
      <c r="P109" s="642"/>
      <c r="Q109" s="642"/>
      <c r="R109" s="642"/>
      <c r="S109" s="642"/>
      <c r="T109" s="642"/>
      <c r="U109" s="642"/>
    </row>
    <row r="110" spans="1:21" x14ac:dyDescent="0.2">
      <c r="A110" s="642"/>
      <c r="B110" s="642"/>
      <c r="C110" s="642"/>
      <c r="D110" s="642"/>
      <c r="E110" s="642"/>
      <c r="F110" s="642"/>
      <c r="G110" s="642"/>
      <c r="H110" s="642"/>
      <c r="I110" s="642"/>
      <c r="J110" s="642"/>
      <c r="K110" s="642"/>
      <c r="L110" s="642"/>
      <c r="M110" s="642"/>
      <c r="N110" s="642"/>
      <c r="O110" s="642"/>
      <c r="P110" s="642"/>
      <c r="Q110" s="642"/>
      <c r="R110" s="642"/>
      <c r="S110" s="642"/>
      <c r="T110" s="642"/>
      <c r="U110" s="642"/>
    </row>
    <row r="111" spans="1:21" x14ac:dyDescent="0.2">
      <c r="A111" s="642"/>
      <c r="B111" s="642"/>
      <c r="C111" s="642"/>
      <c r="D111" s="642"/>
      <c r="E111" s="642"/>
      <c r="F111" s="642"/>
      <c r="G111" s="642"/>
      <c r="H111" s="642"/>
      <c r="I111" s="642"/>
      <c r="J111" s="642"/>
      <c r="K111" s="642"/>
      <c r="L111" s="642"/>
      <c r="M111" s="642"/>
      <c r="N111" s="642"/>
      <c r="O111" s="642"/>
      <c r="P111" s="642"/>
      <c r="Q111" s="642"/>
      <c r="R111" s="642"/>
      <c r="S111" s="642"/>
      <c r="T111" s="642"/>
      <c r="U111" s="642"/>
    </row>
    <row r="112" spans="1:21" x14ac:dyDescent="0.2">
      <c r="A112" s="642"/>
      <c r="B112" s="642"/>
      <c r="C112" s="642"/>
      <c r="D112" s="642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2"/>
      <c r="R112" s="642"/>
      <c r="S112" s="642"/>
      <c r="T112" s="642"/>
      <c r="U112" s="642"/>
    </row>
    <row r="113" spans="1:21" x14ac:dyDescent="0.2">
      <c r="A113" s="642"/>
      <c r="B113" s="642"/>
      <c r="C113" s="642"/>
      <c r="D113" s="642"/>
      <c r="E113" s="642"/>
      <c r="F113" s="642"/>
      <c r="G113" s="642"/>
      <c r="H113" s="642"/>
      <c r="I113" s="642"/>
      <c r="J113" s="642"/>
      <c r="K113" s="642"/>
      <c r="L113" s="642"/>
      <c r="M113" s="642"/>
      <c r="N113" s="642"/>
      <c r="O113" s="642"/>
      <c r="P113" s="642"/>
      <c r="Q113" s="642"/>
      <c r="R113" s="642"/>
      <c r="S113" s="642"/>
      <c r="T113" s="642"/>
      <c r="U113" s="642"/>
    </row>
    <row r="114" spans="1:21" x14ac:dyDescent="0.2">
      <c r="A114" s="642"/>
      <c r="B114" s="642"/>
      <c r="C114" s="642"/>
      <c r="D114" s="642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2"/>
      <c r="R114" s="642"/>
      <c r="S114" s="642"/>
      <c r="T114" s="642"/>
      <c r="U114" s="642"/>
    </row>
    <row r="115" spans="1:21" x14ac:dyDescent="0.2">
      <c r="A115" s="642"/>
      <c r="B115" s="642"/>
      <c r="C115" s="642"/>
      <c r="D115" s="642"/>
      <c r="E115" s="642"/>
      <c r="F115" s="642"/>
      <c r="G115" s="642"/>
      <c r="H115" s="642"/>
      <c r="I115" s="642"/>
      <c r="J115" s="642"/>
      <c r="K115" s="642"/>
      <c r="L115" s="642"/>
      <c r="M115" s="642"/>
      <c r="N115" s="642"/>
      <c r="O115" s="642"/>
      <c r="P115" s="642"/>
      <c r="Q115" s="642"/>
      <c r="R115" s="642"/>
      <c r="S115" s="642"/>
      <c r="T115" s="642"/>
      <c r="U115" s="642"/>
    </row>
    <row r="116" spans="1:21" x14ac:dyDescent="0.2">
      <c r="A116" s="642"/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</row>
    <row r="117" spans="1:21" x14ac:dyDescent="0.2">
      <c r="A117" s="642"/>
      <c r="B117" s="642"/>
      <c r="C117" s="642"/>
      <c r="D117" s="642"/>
      <c r="E117" s="642"/>
      <c r="F117" s="642"/>
      <c r="G117" s="642"/>
      <c r="H117" s="642"/>
      <c r="I117" s="642"/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42"/>
    </row>
    <row r="118" spans="1:21" x14ac:dyDescent="0.2">
      <c r="A118" s="64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</row>
    <row r="119" spans="1:21" x14ac:dyDescent="0.2">
      <c r="A119" s="642"/>
      <c r="B119" s="642"/>
      <c r="C119" s="642"/>
      <c r="D119" s="642"/>
      <c r="E119" s="642"/>
      <c r="F119" s="642"/>
      <c r="G119" s="642"/>
      <c r="H119" s="642"/>
      <c r="I119" s="642"/>
      <c r="J119" s="642"/>
      <c r="K119" s="642"/>
      <c r="L119" s="642"/>
      <c r="M119" s="642"/>
      <c r="N119" s="642"/>
      <c r="O119" s="642"/>
      <c r="P119" s="642"/>
      <c r="Q119" s="642"/>
      <c r="R119" s="642"/>
      <c r="S119" s="642"/>
      <c r="T119" s="642"/>
      <c r="U119" s="642"/>
    </row>
    <row r="120" spans="1:21" x14ac:dyDescent="0.2">
      <c r="A120" s="64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</row>
    <row r="121" spans="1:21" x14ac:dyDescent="0.2">
      <c r="A121" s="64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</row>
    <row r="122" spans="1:21" x14ac:dyDescent="0.2">
      <c r="A122" s="642"/>
      <c r="B122" s="642"/>
      <c r="C122" s="642"/>
      <c r="D122" s="642"/>
      <c r="E122" s="642"/>
      <c r="F122" s="642"/>
      <c r="G122" s="642"/>
      <c r="H122" s="642"/>
      <c r="I122" s="642"/>
      <c r="J122" s="642"/>
      <c r="K122" s="642"/>
      <c r="L122" s="642"/>
      <c r="M122" s="642"/>
      <c r="N122" s="642"/>
      <c r="O122" s="642"/>
      <c r="P122" s="642"/>
      <c r="Q122" s="642"/>
      <c r="R122" s="642"/>
      <c r="S122" s="642"/>
      <c r="T122" s="642"/>
      <c r="U122" s="642"/>
    </row>
    <row r="123" spans="1:21" x14ac:dyDescent="0.2">
      <c r="A123" s="642"/>
      <c r="B123" s="642"/>
      <c r="C123" s="642"/>
      <c r="D123" s="642"/>
      <c r="E123" s="642"/>
      <c r="F123" s="642"/>
      <c r="G123" s="642"/>
      <c r="H123" s="642"/>
      <c r="I123" s="642"/>
      <c r="J123" s="642"/>
      <c r="K123" s="642"/>
      <c r="L123" s="642"/>
      <c r="M123" s="642"/>
      <c r="N123" s="642"/>
      <c r="O123" s="642"/>
      <c r="P123" s="642"/>
      <c r="Q123" s="642"/>
      <c r="R123" s="642"/>
      <c r="S123" s="642"/>
      <c r="T123" s="642"/>
      <c r="U123" s="642"/>
    </row>
    <row r="124" spans="1:21" x14ac:dyDescent="0.2">
      <c r="A124" s="642"/>
      <c r="B124" s="642"/>
      <c r="C124" s="642"/>
      <c r="D124" s="642"/>
      <c r="E124" s="642"/>
      <c r="F124" s="642"/>
      <c r="G124" s="642"/>
      <c r="H124" s="642"/>
      <c r="I124" s="642"/>
      <c r="J124" s="642"/>
      <c r="K124" s="642"/>
      <c r="L124" s="642"/>
      <c r="M124" s="642"/>
      <c r="N124" s="642"/>
      <c r="O124" s="642"/>
      <c r="P124" s="642"/>
      <c r="Q124" s="642"/>
      <c r="R124" s="642"/>
      <c r="S124" s="642"/>
      <c r="T124" s="642"/>
      <c r="U124" s="642"/>
    </row>
    <row r="125" spans="1:21" x14ac:dyDescent="0.2">
      <c r="A125" s="642"/>
      <c r="B125" s="642"/>
      <c r="C125" s="642"/>
      <c r="D125" s="642"/>
      <c r="E125" s="642"/>
      <c r="F125" s="642"/>
      <c r="G125" s="642"/>
      <c r="H125" s="642"/>
      <c r="I125" s="642"/>
      <c r="J125" s="642"/>
      <c r="K125" s="642"/>
      <c r="L125" s="642"/>
      <c r="M125" s="642"/>
      <c r="N125" s="642"/>
      <c r="O125" s="642"/>
      <c r="P125" s="642"/>
      <c r="Q125" s="642"/>
      <c r="R125" s="642"/>
      <c r="S125" s="642"/>
      <c r="T125" s="642"/>
      <c r="U125" s="642"/>
    </row>
    <row r="126" spans="1:21" x14ac:dyDescent="0.2">
      <c r="A126" s="642"/>
      <c r="B126" s="642"/>
      <c r="C126" s="642"/>
      <c r="D126" s="642"/>
      <c r="E126" s="642"/>
      <c r="F126" s="642"/>
      <c r="G126" s="642"/>
      <c r="H126" s="642"/>
      <c r="I126" s="642"/>
      <c r="J126" s="642"/>
      <c r="K126" s="642"/>
      <c r="L126" s="642"/>
      <c r="M126" s="642"/>
      <c r="N126" s="642"/>
      <c r="O126" s="642"/>
      <c r="P126" s="642"/>
      <c r="Q126" s="642"/>
      <c r="R126" s="642"/>
      <c r="S126" s="642"/>
      <c r="T126" s="642"/>
      <c r="U126" s="642"/>
    </row>
    <row r="127" spans="1:21" x14ac:dyDescent="0.2">
      <c r="A127" s="642"/>
      <c r="B127" s="642"/>
      <c r="C127" s="642"/>
      <c r="D127" s="642"/>
      <c r="E127" s="642"/>
      <c r="F127" s="642"/>
      <c r="G127" s="642"/>
      <c r="H127" s="642"/>
      <c r="I127" s="642"/>
      <c r="J127" s="642"/>
      <c r="K127" s="642"/>
      <c r="L127" s="642"/>
      <c r="M127" s="642"/>
      <c r="N127" s="642"/>
      <c r="O127" s="642"/>
      <c r="P127" s="642"/>
      <c r="Q127" s="642"/>
      <c r="R127" s="642"/>
      <c r="S127" s="642"/>
      <c r="T127" s="642"/>
      <c r="U127" s="642"/>
    </row>
    <row r="128" spans="1:21" x14ac:dyDescent="0.2">
      <c r="A128" s="642"/>
      <c r="B128" s="642"/>
      <c r="C128" s="642"/>
      <c r="D128" s="642"/>
      <c r="E128" s="642"/>
      <c r="F128" s="642"/>
      <c r="G128" s="642"/>
      <c r="H128" s="642"/>
      <c r="I128" s="642"/>
      <c r="J128" s="642"/>
      <c r="K128" s="642"/>
      <c r="L128" s="642"/>
      <c r="M128" s="642"/>
      <c r="N128" s="642"/>
      <c r="O128" s="642"/>
      <c r="P128" s="642"/>
      <c r="Q128" s="642"/>
      <c r="R128" s="642"/>
      <c r="S128" s="642"/>
      <c r="T128" s="642"/>
      <c r="U128" s="642"/>
    </row>
    <row r="129" spans="1:21" x14ac:dyDescent="0.2">
      <c r="A129" s="642"/>
      <c r="B129" s="642"/>
      <c r="C129" s="642"/>
      <c r="D129" s="642"/>
      <c r="E129" s="642"/>
      <c r="F129" s="642"/>
      <c r="G129" s="642"/>
      <c r="H129" s="642"/>
      <c r="I129" s="642"/>
      <c r="J129" s="642"/>
      <c r="K129" s="642"/>
      <c r="L129" s="642"/>
      <c r="M129" s="642"/>
      <c r="N129" s="642"/>
      <c r="O129" s="642"/>
      <c r="P129" s="642"/>
      <c r="Q129" s="642"/>
      <c r="R129" s="642"/>
      <c r="S129" s="642"/>
      <c r="T129" s="642"/>
      <c r="U129" s="642"/>
    </row>
    <row r="130" spans="1:21" x14ac:dyDescent="0.2">
      <c r="A130" s="642"/>
      <c r="B130" s="642"/>
      <c r="C130" s="642"/>
      <c r="D130" s="642"/>
      <c r="E130" s="642"/>
      <c r="F130" s="642"/>
      <c r="G130" s="642"/>
      <c r="H130" s="642"/>
      <c r="I130" s="642"/>
      <c r="J130" s="642"/>
      <c r="K130" s="642"/>
      <c r="L130" s="642"/>
      <c r="M130" s="642"/>
      <c r="N130" s="642"/>
      <c r="O130" s="642"/>
      <c r="P130" s="642"/>
      <c r="Q130" s="642"/>
      <c r="R130" s="642"/>
      <c r="S130" s="642"/>
      <c r="T130" s="642"/>
      <c r="U130" s="642"/>
    </row>
    <row r="131" spans="1:21" x14ac:dyDescent="0.2">
      <c r="A131" s="642"/>
      <c r="B131" s="642"/>
      <c r="C131" s="642"/>
      <c r="D131" s="642"/>
      <c r="E131" s="642"/>
      <c r="F131" s="642"/>
      <c r="G131" s="642"/>
      <c r="H131" s="642"/>
      <c r="I131" s="642"/>
      <c r="J131" s="642"/>
      <c r="K131" s="642"/>
      <c r="L131" s="642"/>
      <c r="M131" s="642"/>
      <c r="N131" s="642"/>
      <c r="O131" s="642"/>
      <c r="P131" s="642"/>
      <c r="Q131" s="642"/>
      <c r="R131" s="642"/>
      <c r="S131" s="642"/>
      <c r="T131" s="642"/>
      <c r="U131" s="642"/>
    </row>
    <row r="132" spans="1:21" x14ac:dyDescent="0.2">
      <c r="A132" s="642"/>
      <c r="B132" s="642"/>
      <c r="C132" s="642"/>
      <c r="D132" s="642"/>
      <c r="E132" s="642"/>
      <c r="F132" s="642"/>
      <c r="G132" s="642"/>
      <c r="H132" s="642"/>
      <c r="I132" s="642"/>
      <c r="J132" s="642"/>
      <c r="K132" s="642"/>
      <c r="L132" s="642"/>
      <c r="M132" s="642"/>
      <c r="N132" s="642"/>
      <c r="O132" s="642"/>
      <c r="P132" s="642"/>
      <c r="Q132" s="642"/>
      <c r="R132" s="642"/>
      <c r="S132" s="642"/>
      <c r="T132" s="642"/>
      <c r="U132" s="642"/>
    </row>
    <row r="133" spans="1:21" x14ac:dyDescent="0.2">
      <c r="A133" s="642"/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  <c r="L133" s="642"/>
      <c r="M133" s="642"/>
      <c r="N133" s="642"/>
      <c r="O133" s="642"/>
      <c r="P133" s="642"/>
      <c r="Q133" s="642"/>
      <c r="R133" s="642"/>
      <c r="S133" s="642"/>
      <c r="T133" s="642"/>
      <c r="U133" s="642"/>
    </row>
    <row r="134" spans="1:21" x14ac:dyDescent="0.2">
      <c r="A134" s="642"/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</row>
    <row r="135" spans="1:21" x14ac:dyDescent="0.2">
      <c r="A135" s="642"/>
      <c r="B135" s="642"/>
      <c r="C135" s="642"/>
      <c r="D135" s="642"/>
      <c r="E135" s="642"/>
      <c r="F135" s="642"/>
      <c r="G135" s="642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</row>
    <row r="136" spans="1:21" x14ac:dyDescent="0.2">
      <c r="A136" s="642"/>
      <c r="B136" s="642"/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</row>
    <row r="137" spans="1:21" x14ac:dyDescent="0.2">
      <c r="A137" s="642"/>
      <c r="B137" s="642"/>
      <c r="C137" s="642"/>
      <c r="D137" s="642"/>
      <c r="E137" s="642"/>
      <c r="F137" s="642"/>
      <c r="G137" s="642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  <c r="R137" s="642"/>
      <c r="S137" s="642"/>
      <c r="T137" s="642"/>
      <c r="U137" s="642"/>
    </row>
    <row r="138" spans="1:21" x14ac:dyDescent="0.2">
      <c r="A138" s="642"/>
      <c r="B138" s="642"/>
      <c r="C138" s="642"/>
      <c r="D138" s="642"/>
      <c r="E138" s="642"/>
      <c r="F138" s="642"/>
      <c r="G138" s="642"/>
      <c r="H138" s="642"/>
      <c r="I138" s="642"/>
      <c r="J138" s="642"/>
      <c r="K138" s="642"/>
      <c r="L138" s="642"/>
      <c r="M138" s="642"/>
      <c r="N138" s="642"/>
      <c r="O138" s="642"/>
      <c r="P138" s="642"/>
      <c r="Q138" s="642"/>
      <c r="R138" s="642"/>
      <c r="S138" s="642"/>
      <c r="T138" s="642"/>
      <c r="U138" s="642"/>
    </row>
    <row r="139" spans="1:21" x14ac:dyDescent="0.2">
      <c r="A139" s="642"/>
      <c r="B139" s="642"/>
      <c r="C139" s="642"/>
      <c r="D139" s="642"/>
      <c r="E139" s="642"/>
      <c r="F139" s="642"/>
      <c r="G139" s="642"/>
      <c r="H139" s="642"/>
      <c r="I139" s="642"/>
      <c r="J139" s="642"/>
      <c r="K139" s="642"/>
      <c r="L139" s="642"/>
      <c r="M139" s="642"/>
      <c r="N139" s="642"/>
      <c r="O139" s="642"/>
      <c r="P139" s="642"/>
      <c r="Q139" s="642"/>
      <c r="R139" s="642"/>
      <c r="S139" s="642"/>
      <c r="T139" s="642"/>
      <c r="U139" s="642"/>
    </row>
    <row r="140" spans="1:21" x14ac:dyDescent="0.2">
      <c r="A140" s="642"/>
      <c r="B140" s="642"/>
      <c r="C140" s="642"/>
      <c r="D140" s="642"/>
      <c r="E140" s="642"/>
      <c r="F140" s="642"/>
      <c r="G140" s="642"/>
      <c r="H140" s="642"/>
      <c r="I140" s="642"/>
      <c r="J140" s="642"/>
      <c r="K140" s="642"/>
      <c r="L140" s="642"/>
      <c r="M140" s="642"/>
      <c r="N140" s="642"/>
      <c r="O140" s="642"/>
      <c r="P140" s="642"/>
      <c r="Q140" s="642"/>
      <c r="R140" s="642"/>
      <c r="S140" s="642"/>
      <c r="T140" s="642"/>
      <c r="U140" s="642"/>
    </row>
    <row r="141" spans="1:21" x14ac:dyDescent="0.2">
      <c r="A141" s="642"/>
      <c r="B141" s="642"/>
      <c r="C141" s="642"/>
      <c r="D141" s="642"/>
      <c r="E141" s="642"/>
      <c r="F141" s="642"/>
      <c r="G141" s="642"/>
      <c r="H141" s="642"/>
      <c r="I141" s="642"/>
      <c r="J141" s="642"/>
      <c r="K141" s="642"/>
      <c r="L141" s="642"/>
      <c r="M141" s="642"/>
      <c r="N141" s="642"/>
      <c r="O141" s="642"/>
      <c r="P141" s="642"/>
      <c r="Q141" s="642"/>
      <c r="R141" s="642"/>
      <c r="S141" s="642"/>
      <c r="T141" s="642"/>
      <c r="U141" s="642"/>
    </row>
    <row r="142" spans="1:21" x14ac:dyDescent="0.2">
      <c r="A142" s="642"/>
      <c r="B142" s="642"/>
      <c r="C142" s="642"/>
      <c r="D142" s="642"/>
      <c r="E142" s="642"/>
      <c r="F142" s="642"/>
      <c r="G142" s="642"/>
      <c r="H142" s="642"/>
      <c r="I142" s="642"/>
      <c r="J142" s="642"/>
      <c r="K142" s="642"/>
      <c r="L142" s="642"/>
      <c r="M142" s="642"/>
      <c r="N142" s="642"/>
      <c r="O142" s="642"/>
      <c r="P142" s="642"/>
      <c r="Q142" s="642"/>
      <c r="R142" s="642"/>
      <c r="S142" s="642"/>
      <c r="T142" s="642"/>
      <c r="U142" s="642"/>
    </row>
    <row r="143" spans="1:21" x14ac:dyDescent="0.2">
      <c r="A143" s="642"/>
      <c r="B143" s="642"/>
      <c r="C143" s="642"/>
      <c r="D143" s="642"/>
      <c r="E143" s="642"/>
      <c r="F143" s="642"/>
      <c r="G143" s="642"/>
      <c r="H143" s="642"/>
      <c r="I143" s="642"/>
      <c r="J143" s="642"/>
      <c r="K143" s="642"/>
      <c r="L143" s="642"/>
      <c r="M143" s="642"/>
      <c r="N143" s="642"/>
      <c r="O143" s="642"/>
      <c r="P143" s="642"/>
      <c r="Q143" s="642"/>
      <c r="R143" s="642"/>
      <c r="S143" s="642"/>
      <c r="T143" s="642"/>
      <c r="U143" s="642"/>
    </row>
    <row r="144" spans="1:21" x14ac:dyDescent="0.2">
      <c r="A144" s="642"/>
      <c r="B144" s="642"/>
      <c r="C144" s="642"/>
      <c r="D144" s="642"/>
      <c r="E144" s="642"/>
      <c r="F144" s="642"/>
      <c r="G144" s="642"/>
      <c r="H144" s="642"/>
      <c r="I144" s="642"/>
      <c r="J144" s="642"/>
      <c r="K144" s="642"/>
      <c r="L144" s="642"/>
      <c r="M144" s="642"/>
      <c r="N144" s="642"/>
      <c r="O144" s="642"/>
      <c r="P144" s="642"/>
      <c r="Q144" s="642"/>
      <c r="R144" s="642"/>
      <c r="S144" s="642"/>
      <c r="T144" s="642"/>
      <c r="U144" s="642"/>
    </row>
    <row r="145" spans="1:21" x14ac:dyDescent="0.2">
      <c r="A145" s="642"/>
      <c r="B145" s="642"/>
      <c r="C145" s="642"/>
      <c r="D145" s="642"/>
      <c r="E145" s="642"/>
      <c r="F145" s="642"/>
      <c r="G145" s="642"/>
      <c r="H145" s="642"/>
      <c r="I145" s="642"/>
      <c r="J145" s="642"/>
      <c r="K145" s="642"/>
      <c r="L145" s="642"/>
      <c r="M145" s="642"/>
      <c r="N145" s="642"/>
      <c r="O145" s="642"/>
      <c r="P145" s="642"/>
      <c r="Q145" s="642"/>
      <c r="R145" s="642"/>
      <c r="S145" s="642"/>
      <c r="T145" s="642"/>
      <c r="U145" s="642"/>
    </row>
    <row r="146" spans="1:21" x14ac:dyDescent="0.2">
      <c r="A146" s="642"/>
      <c r="B146" s="642"/>
      <c r="C146" s="642"/>
      <c r="D146" s="642"/>
      <c r="E146" s="642"/>
      <c r="F146" s="642"/>
      <c r="G146" s="642"/>
      <c r="H146" s="642"/>
      <c r="I146" s="642"/>
      <c r="J146" s="642"/>
      <c r="K146" s="642"/>
      <c r="L146" s="642"/>
      <c r="M146" s="642"/>
      <c r="N146" s="642"/>
      <c r="O146" s="642"/>
      <c r="P146" s="642"/>
      <c r="Q146" s="642"/>
      <c r="R146" s="642"/>
      <c r="S146" s="642"/>
      <c r="T146" s="642"/>
      <c r="U146" s="642"/>
    </row>
    <row r="147" spans="1:21" x14ac:dyDescent="0.2">
      <c r="A147" s="642"/>
      <c r="B147" s="642"/>
      <c r="C147" s="642"/>
      <c r="D147" s="642"/>
      <c r="E147" s="642"/>
      <c r="F147" s="642"/>
      <c r="G147" s="642"/>
      <c r="H147" s="642"/>
      <c r="I147" s="642"/>
      <c r="J147" s="642"/>
      <c r="K147" s="642"/>
      <c r="L147" s="642"/>
      <c r="M147" s="642"/>
      <c r="N147" s="642"/>
      <c r="O147" s="642"/>
      <c r="P147" s="642"/>
      <c r="Q147" s="642"/>
      <c r="R147" s="642"/>
      <c r="S147" s="642"/>
      <c r="T147" s="642"/>
      <c r="U147" s="642"/>
    </row>
    <row r="148" spans="1:21" x14ac:dyDescent="0.2">
      <c r="A148" s="642"/>
      <c r="B148" s="642"/>
      <c r="C148" s="642"/>
      <c r="D148" s="642"/>
      <c r="E148" s="642"/>
      <c r="F148" s="642"/>
      <c r="G148" s="642"/>
      <c r="H148" s="642"/>
      <c r="I148" s="642"/>
      <c r="J148" s="642"/>
      <c r="K148" s="642"/>
      <c r="L148" s="642"/>
      <c r="M148" s="642"/>
      <c r="N148" s="642"/>
      <c r="O148" s="642"/>
      <c r="P148" s="642"/>
      <c r="Q148" s="642"/>
      <c r="R148" s="642"/>
      <c r="S148" s="642"/>
      <c r="T148" s="642"/>
      <c r="U148" s="642"/>
    </row>
    <row r="149" spans="1:21" x14ac:dyDescent="0.2">
      <c r="A149" s="642"/>
      <c r="B149" s="642"/>
      <c r="C149" s="642"/>
      <c r="D149" s="642"/>
      <c r="E149" s="642"/>
      <c r="F149" s="642"/>
      <c r="G149" s="642"/>
      <c r="H149" s="642"/>
      <c r="I149" s="642"/>
      <c r="J149" s="642"/>
      <c r="K149" s="642"/>
      <c r="L149" s="642"/>
      <c r="M149" s="642"/>
      <c r="N149" s="642"/>
      <c r="O149" s="642"/>
      <c r="P149" s="642"/>
      <c r="Q149" s="642"/>
      <c r="R149" s="642"/>
      <c r="S149" s="642"/>
      <c r="T149" s="642"/>
      <c r="U149" s="642"/>
    </row>
    <row r="150" spans="1:21" x14ac:dyDescent="0.2">
      <c r="A150" s="642"/>
      <c r="B150" s="642"/>
      <c r="C150" s="642"/>
      <c r="D150" s="642"/>
      <c r="E150" s="642"/>
      <c r="F150" s="642"/>
      <c r="G150" s="642"/>
      <c r="H150" s="642"/>
      <c r="I150" s="642"/>
      <c r="J150" s="642"/>
      <c r="K150" s="642"/>
      <c r="L150" s="642"/>
      <c r="M150" s="642"/>
      <c r="N150" s="642"/>
      <c r="O150" s="642"/>
      <c r="P150" s="642"/>
      <c r="Q150" s="642"/>
      <c r="R150" s="642"/>
      <c r="S150" s="642"/>
      <c r="T150" s="642"/>
      <c r="U150" s="642"/>
    </row>
    <row r="151" spans="1:21" x14ac:dyDescent="0.2">
      <c r="A151" s="642"/>
      <c r="B151" s="642"/>
      <c r="C151" s="642"/>
      <c r="D151" s="642"/>
      <c r="E151" s="642"/>
      <c r="F151" s="642"/>
      <c r="G151" s="642"/>
      <c r="H151" s="642"/>
      <c r="I151" s="642"/>
      <c r="J151" s="642"/>
      <c r="K151" s="642"/>
      <c r="L151" s="642"/>
      <c r="M151" s="642"/>
      <c r="N151" s="642"/>
      <c r="O151" s="642"/>
      <c r="P151" s="642"/>
      <c r="Q151" s="642"/>
      <c r="R151" s="642"/>
      <c r="S151" s="642"/>
      <c r="T151" s="642"/>
      <c r="U151" s="642"/>
    </row>
    <row r="152" spans="1:21" x14ac:dyDescent="0.2">
      <c r="A152" s="642"/>
      <c r="B152" s="642"/>
      <c r="C152" s="642"/>
      <c r="D152" s="642"/>
      <c r="E152" s="642"/>
      <c r="F152" s="642"/>
      <c r="G152" s="642"/>
      <c r="H152" s="642"/>
      <c r="I152" s="642"/>
      <c r="J152" s="642"/>
      <c r="K152" s="642"/>
      <c r="L152" s="642"/>
      <c r="M152" s="642"/>
      <c r="N152" s="642"/>
      <c r="O152" s="642"/>
      <c r="P152" s="642"/>
      <c r="Q152" s="642"/>
      <c r="R152" s="642"/>
      <c r="S152" s="642"/>
      <c r="T152" s="642"/>
      <c r="U152" s="642"/>
    </row>
    <row r="153" spans="1:21" x14ac:dyDescent="0.2">
      <c r="A153" s="642"/>
      <c r="B153" s="642"/>
      <c r="C153" s="642"/>
      <c r="D153" s="642"/>
      <c r="E153" s="642"/>
      <c r="F153" s="642"/>
      <c r="G153" s="642"/>
      <c r="H153" s="642"/>
      <c r="I153" s="642"/>
      <c r="J153" s="642"/>
      <c r="K153" s="642"/>
      <c r="L153" s="642"/>
      <c r="M153" s="642"/>
      <c r="N153" s="642"/>
      <c r="O153" s="642"/>
      <c r="P153" s="642"/>
      <c r="Q153" s="642"/>
      <c r="R153" s="642"/>
      <c r="S153" s="642"/>
      <c r="T153" s="642"/>
      <c r="U153" s="642"/>
    </row>
    <row r="154" spans="1:21" x14ac:dyDescent="0.2">
      <c r="A154" s="642"/>
      <c r="B154" s="642"/>
      <c r="C154" s="642"/>
      <c r="D154" s="642"/>
      <c r="E154" s="642"/>
      <c r="F154" s="642"/>
      <c r="G154" s="642"/>
      <c r="H154" s="642"/>
      <c r="I154" s="642"/>
      <c r="J154" s="642"/>
      <c r="K154" s="642"/>
      <c r="L154" s="642"/>
      <c r="M154" s="642"/>
      <c r="N154" s="642"/>
      <c r="O154" s="642"/>
      <c r="P154" s="642"/>
      <c r="Q154" s="642"/>
      <c r="R154" s="642"/>
      <c r="S154" s="642"/>
      <c r="T154" s="642"/>
      <c r="U154" s="642"/>
    </row>
    <row r="155" spans="1:21" x14ac:dyDescent="0.2">
      <c r="A155" s="642"/>
      <c r="B155" s="642"/>
      <c r="C155" s="642"/>
      <c r="D155" s="642"/>
      <c r="E155" s="642"/>
      <c r="F155" s="642"/>
      <c r="G155" s="642"/>
      <c r="H155" s="642"/>
      <c r="I155" s="642"/>
      <c r="J155" s="642"/>
      <c r="K155" s="642"/>
      <c r="L155" s="642"/>
      <c r="M155" s="642"/>
      <c r="N155" s="642"/>
      <c r="O155" s="642"/>
      <c r="P155" s="642"/>
      <c r="Q155" s="642"/>
      <c r="R155" s="642"/>
      <c r="S155" s="642"/>
      <c r="T155" s="642"/>
      <c r="U155" s="642"/>
    </row>
    <row r="156" spans="1:21" x14ac:dyDescent="0.2">
      <c r="A156" s="642"/>
      <c r="B156" s="642"/>
      <c r="C156" s="642"/>
      <c r="D156" s="642"/>
      <c r="E156" s="642"/>
      <c r="F156" s="642"/>
      <c r="G156" s="642"/>
      <c r="H156" s="642"/>
      <c r="I156" s="642"/>
      <c r="J156" s="642"/>
      <c r="K156" s="642"/>
      <c r="L156" s="642"/>
      <c r="M156" s="642"/>
      <c r="N156" s="642"/>
      <c r="O156" s="642"/>
      <c r="P156" s="642"/>
      <c r="Q156" s="642"/>
      <c r="R156" s="642"/>
      <c r="S156" s="642"/>
      <c r="T156" s="642"/>
      <c r="U156" s="642"/>
    </row>
    <row r="157" spans="1:21" x14ac:dyDescent="0.2">
      <c r="A157" s="642"/>
      <c r="B157" s="642"/>
      <c r="C157" s="642"/>
      <c r="D157" s="642"/>
      <c r="E157" s="642"/>
      <c r="F157" s="642"/>
      <c r="G157" s="642"/>
      <c r="H157" s="642"/>
      <c r="I157" s="642"/>
      <c r="J157" s="642"/>
      <c r="K157" s="642"/>
      <c r="L157" s="642"/>
      <c r="M157" s="642"/>
      <c r="N157" s="642"/>
      <c r="O157" s="642"/>
      <c r="P157" s="642"/>
      <c r="Q157" s="642"/>
      <c r="R157" s="642"/>
      <c r="S157" s="642"/>
      <c r="T157" s="642"/>
      <c r="U157" s="642"/>
    </row>
    <row r="158" spans="1:21" x14ac:dyDescent="0.2">
      <c r="A158" s="642"/>
      <c r="B158" s="642"/>
      <c r="C158" s="642"/>
      <c r="D158" s="642"/>
      <c r="E158" s="642"/>
      <c r="F158" s="642"/>
      <c r="G158" s="642"/>
      <c r="H158" s="642"/>
      <c r="I158" s="642"/>
      <c r="J158" s="642"/>
      <c r="K158" s="642"/>
      <c r="L158" s="642"/>
      <c r="M158" s="642"/>
      <c r="N158" s="642"/>
      <c r="O158" s="642"/>
      <c r="P158" s="642"/>
      <c r="Q158" s="642"/>
      <c r="R158" s="642"/>
      <c r="S158" s="642"/>
      <c r="T158" s="642"/>
      <c r="U158" s="642"/>
    </row>
    <row r="159" spans="1:21" x14ac:dyDescent="0.2">
      <c r="A159" s="642"/>
      <c r="B159" s="642"/>
      <c r="C159" s="642"/>
      <c r="D159" s="642"/>
      <c r="E159" s="642"/>
      <c r="F159" s="642"/>
      <c r="G159" s="642"/>
      <c r="H159" s="642"/>
      <c r="I159" s="642"/>
      <c r="J159" s="642"/>
      <c r="K159" s="642"/>
      <c r="L159" s="642"/>
      <c r="M159" s="642"/>
      <c r="N159" s="642"/>
      <c r="O159" s="642"/>
      <c r="P159" s="642"/>
      <c r="Q159" s="642"/>
      <c r="R159" s="642"/>
      <c r="S159" s="642"/>
      <c r="T159" s="642"/>
      <c r="U159" s="642"/>
    </row>
    <row r="160" spans="1:21" x14ac:dyDescent="0.2">
      <c r="A160" s="642"/>
      <c r="B160" s="642"/>
      <c r="C160" s="642"/>
      <c r="D160" s="642"/>
      <c r="E160" s="642"/>
      <c r="F160" s="642"/>
      <c r="G160" s="642"/>
      <c r="H160" s="642"/>
      <c r="I160" s="642"/>
      <c r="J160" s="642"/>
      <c r="K160" s="642"/>
      <c r="L160" s="642"/>
      <c r="M160" s="642"/>
      <c r="N160" s="642"/>
      <c r="O160" s="642"/>
      <c r="P160" s="642"/>
      <c r="Q160" s="642"/>
      <c r="R160" s="642"/>
      <c r="S160" s="642"/>
      <c r="T160" s="642"/>
      <c r="U160" s="642"/>
    </row>
    <row r="161" spans="1:21" x14ac:dyDescent="0.2">
      <c r="A161" s="642"/>
      <c r="B161" s="642"/>
      <c r="C161" s="642"/>
      <c r="D161" s="642"/>
      <c r="E161" s="642"/>
      <c r="F161" s="642"/>
      <c r="G161" s="642"/>
      <c r="H161" s="642"/>
      <c r="I161" s="642"/>
      <c r="J161" s="642"/>
      <c r="K161" s="642"/>
      <c r="L161" s="642"/>
      <c r="M161" s="642"/>
      <c r="N161" s="642"/>
      <c r="O161" s="642"/>
      <c r="P161" s="642"/>
      <c r="Q161" s="642"/>
      <c r="R161" s="642"/>
      <c r="S161" s="642"/>
      <c r="T161" s="642"/>
      <c r="U161" s="642"/>
    </row>
    <row r="162" spans="1:21" x14ac:dyDescent="0.2">
      <c r="A162" s="642"/>
      <c r="B162" s="642"/>
      <c r="C162" s="642"/>
      <c r="D162" s="642"/>
      <c r="E162" s="642"/>
      <c r="F162" s="642"/>
      <c r="G162" s="642"/>
      <c r="H162" s="642"/>
      <c r="I162" s="642"/>
      <c r="J162" s="642"/>
      <c r="K162" s="642"/>
      <c r="L162" s="642"/>
      <c r="M162" s="642"/>
      <c r="N162" s="642"/>
      <c r="O162" s="642"/>
      <c r="P162" s="642"/>
      <c r="Q162" s="642"/>
      <c r="R162" s="642"/>
      <c r="S162" s="642"/>
      <c r="T162" s="642"/>
      <c r="U162" s="642"/>
    </row>
    <row r="163" spans="1:21" x14ac:dyDescent="0.2">
      <c r="A163" s="642"/>
      <c r="B163" s="642"/>
      <c r="C163" s="642"/>
      <c r="D163" s="642"/>
      <c r="E163" s="642"/>
      <c r="F163" s="642"/>
      <c r="G163" s="642"/>
      <c r="H163" s="642"/>
      <c r="I163" s="642"/>
      <c r="J163" s="642"/>
      <c r="K163" s="642"/>
      <c r="L163" s="642"/>
      <c r="M163" s="642"/>
      <c r="N163" s="642"/>
      <c r="O163" s="642"/>
      <c r="P163" s="642"/>
      <c r="Q163" s="642"/>
      <c r="R163" s="642"/>
      <c r="S163" s="642"/>
      <c r="T163" s="642"/>
      <c r="U163" s="642"/>
    </row>
    <row r="164" spans="1:21" x14ac:dyDescent="0.2">
      <c r="A164" s="642"/>
      <c r="B164" s="642"/>
      <c r="C164" s="642"/>
      <c r="D164" s="642"/>
      <c r="E164" s="642"/>
      <c r="F164" s="642"/>
      <c r="G164" s="642"/>
      <c r="H164" s="642"/>
      <c r="I164" s="642"/>
      <c r="J164" s="642"/>
      <c r="K164" s="642"/>
      <c r="L164" s="642"/>
      <c r="M164" s="642"/>
      <c r="N164" s="642"/>
      <c r="O164" s="642"/>
      <c r="P164" s="642"/>
      <c r="Q164" s="642"/>
      <c r="R164" s="642"/>
      <c r="S164" s="642"/>
      <c r="T164" s="642"/>
      <c r="U164" s="642"/>
    </row>
    <row r="165" spans="1:21" x14ac:dyDescent="0.2">
      <c r="A165" s="642"/>
      <c r="B165" s="642"/>
      <c r="C165" s="642"/>
      <c r="D165" s="642"/>
      <c r="E165" s="642"/>
      <c r="F165" s="642"/>
      <c r="G165" s="642"/>
      <c r="H165" s="642"/>
      <c r="I165" s="642"/>
      <c r="J165" s="642"/>
      <c r="K165" s="642"/>
      <c r="L165" s="642"/>
      <c r="M165" s="642"/>
      <c r="N165" s="642"/>
      <c r="O165" s="642"/>
      <c r="P165" s="642"/>
      <c r="Q165" s="642"/>
      <c r="R165" s="642"/>
      <c r="S165" s="642"/>
      <c r="T165" s="642"/>
      <c r="U165" s="642"/>
    </row>
    <row r="166" spans="1:21" x14ac:dyDescent="0.2">
      <c r="A166" s="642"/>
      <c r="B166" s="642"/>
      <c r="C166" s="642"/>
      <c r="D166" s="642"/>
      <c r="E166" s="642"/>
      <c r="F166" s="642"/>
      <c r="G166" s="642"/>
      <c r="H166" s="642"/>
      <c r="I166" s="642"/>
      <c r="J166" s="642"/>
      <c r="K166" s="642"/>
      <c r="L166" s="642"/>
      <c r="M166" s="642"/>
      <c r="N166" s="642"/>
      <c r="O166" s="642"/>
      <c r="P166" s="642"/>
      <c r="Q166" s="642"/>
      <c r="R166" s="642"/>
      <c r="S166" s="642"/>
      <c r="T166" s="642"/>
      <c r="U166" s="642"/>
    </row>
    <row r="167" spans="1:21" x14ac:dyDescent="0.2">
      <c r="A167" s="642"/>
      <c r="B167" s="642"/>
      <c r="C167" s="642"/>
      <c r="D167" s="642"/>
      <c r="E167" s="642"/>
      <c r="F167" s="642"/>
      <c r="G167" s="642"/>
      <c r="H167" s="642"/>
      <c r="I167" s="642"/>
      <c r="J167" s="642"/>
      <c r="K167" s="642"/>
      <c r="L167" s="642"/>
      <c r="M167" s="642"/>
      <c r="N167" s="642"/>
      <c r="O167" s="642"/>
      <c r="P167" s="642"/>
      <c r="Q167" s="642"/>
      <c r="R167" s="642"/>
      <c r="S167" s="642"/>
      <c r="T167" s="642"/>
      <c r="U167" s="642"/>
    </row>
    <row r="168" spans="1:21" x14ac:dyDescent="0.2">
      <c r="A168" s="642"/>
      <c r="B168" s="642"/>
      <c r="C168" s="642"/>
      <c r="D168" s="642"/>
      <c r="E168" s="642"/>
      <c r="F168" s="642"/>
      <c r="G168" s="642"/>
      <c r="H168" s="642"/>
      <c r="I168" s="642"/>
      <c r="J168" s="642"/>
      <c r="K168" s="642"/>
      <c r="L168" s="642"/>
      <c r="M168" s="642"/>
      <c r="N168" s="642"/>
      <c r="O168" s="642"/>
      <c r="P168" s="642"/>
      <c r="Q168" s="642"/>
      <c r="R168" s="642"/>
      <c r="S168" s="642"/>
      <c r="T168" s="642"/>
      <c r="U168" s="642"/>
    </row>
    <row r="169" spans="1:21" x14ac:dyDescent="0.2">
      <c r="A169" s="642"/>
      <c r="B169" s="642"/>
      <c r="C169" s="642"/>
      <c r="D169" s="642"/>
      <c r="E169" s="642"/>
      <c r="F169" s="642"/>
      <c r="G169" s="642"/>
      <c r="H169" s="642"/>
      <c r="I169" s="642"/>
      <c r="J169" s="642"/>
      <c r="K169" s="642"/>
      <c r="L169" s="642"/>
      <c r="M169" s="642"/>
      <c r="N169" s="642"/>
      <c r="O169" s="642"/>
      <c r="P169" s="642"/>
      <c r="Q169" s="642"/>
      <c r="R169" s="642"/>
      <c r="S169" s="642"/>
      <c r="T169" s="642"/>
      <c r="U169" s="642"/>
    </row>
    <row r="170" spans="1:21" x14ac:dyDescent="0.2">
      <c r="A170" s="642"/>
      <c r="B170" s="642"/>
      <c r="C170" s="642"/>
      <c r="D170" s="642"/>
      <c r="E170" s="642"/>
      <c r="F170" s="642"/>
      <c r="G170" s="642"/>
      <c r="H170" s="642"/>
      <c r="I170" s="642"/>
      <c r="J170" s="642"/>
      <c r="K170" s="642"/>
      <c r="L170" s="642"/>
      <c r="M170" s="642"/>
      <c r="N170" s="642"/>
      <c r="O170" s="642"/>
      <c r="P170" s="642"/>
      <c r="Q170" s="642"/>
      <c r="R170" s="642"/>
      <c r="S170" s="642"/>
      <c r="T170" s="642"/>
      <c r="U170" s="642"/>
    </row>
    <row r="171" spans="1:21" x14ac:dyDescent="0.2">
      <c r="A171" s="642"/>
      <c r="B171" s="642"/>
      <c r="C171" s="642"/>
      <c r="D171" s="642"/>
      <c r="E171" s="642"/>
      <c r="F171" s="642"/>
      <c r="G171" s="642"/>
      <c r="H171" s="642"/>
      <c r="I171" s="642"/>
      <c r="J171" s="642"/>
      <c r="K171" s="642"/>
      <c r="L171" s="642"/>
      <c r="M171" s="642"/>
      <c r="N171" s="642"/>
      <c r="O171" s="642"/>
      <c r="P171" s="642"/>
      <c r="Q171" s="642"/>
      <c r="R171" s="642"/>
      <c r="S171" s="642"/>
      <c r="T171" s="642"/>
      <c r="U171" s="642"/>
    </row>
    <row r="172" spans="1:21" x14ac:dyDescent="0.2">
      <c r="A172" s="642"/>
      <c r="B172" s="642"/>
      <c r="C172" s="642"/>
      <c r="D172" s="642"/>
      <c r="E172" s="642"/>
      <c r="F172" s="642"/>
      <c r="G172" s="642"/>
      <c r="H172" s="642"/>
      <c r="I172" s="642"/>
      <c r="J172" s="642"/>
      <c r="K172" s="642"/>
      <c r="L172" s="642"/>
      <c r="M172" s="642"/>
      <c r="N172" s="642"/>
      <c r="O172" s="642"/>
      <c r="P172" s="642"/>
      <c r="Q172" s="642"/>
      <c r="R172" s="642"/>
      <c r="S172" s="642"/>
      <c r="T172" s="642"/>
      <c r="U172" s="642"/>
    </row>
    <row r="173" spans="1:21" x14ac:dyDescent="0.2">
      <c r="A173" s="642"/>
      <c r="B173" s="642"/>
      <c r="C173" s="642"/>
      <c r="D173" s="642"/>
      <c r="E173" s="642"/>
      <c r="F173" s="642"/>
      <c r="G173" s="642"/>
      <c r="H173" s="642"/>
      <c r="I173" s="642"/>
      <c r="J173" s="642"/>
      <c r="K173" s="642"/>
      <c r="L173" s="642"/>
      <c r="M173" s="642"/>
      <c r="N173" s="642"/>
      <c r="O173" s="642"/>
      <c r="P173" s="642"/>
      <c r="Q173" s="642"/>
      <c r="R173" s="642"/>
      <c r="S173" s="642"/>
      <c r="T173" s="642"/>
      <c r="U173" s="642"/>
    </row>
    <row r="174" spans="1:21" x14ac:dyDescent="0.2">
      <c r="A174" s="642"/>
      <c r="B174" s="642"/>
      <c r="C174" s="642"/>
      <c r="D174" s="642"/>
      <c r="E174" s="642"/>
      <c r="F174" s="642"/>
      <c r="G174" s="642"/>
      <c r="H174" s="642"/>
      <c r="I174" s="642"/>
      <c r="J174" s="642"/>
      <c r="K174" s="642"/>
      <c r="L174" s="642"/>
      <c r="M174" s="642"/>
      <c r="N174" s="642"/>
      <c r="O174" s="642"/>
      <c r="P174" s="642"/>
      <c r="Q174" s="642"/>
      <c r="R174" s="642"/>
      <c r="S174" s="642"/>
      <c r="T174" s="642"/>
      <c r="U174" s="642"/>
    </row>
    <row r="175" spans="1:21" x14ac:dyDescent="0.2">
      <c r="A175" s="642"/>
      <c r="B175" s="642"/>
      <c r="C175" s="642"/>
      <c r="D175" s="642"/>
      <c r="E175" s="642"/>
      <c r="F175" s="642"/>
      <c r="G175" s="642"/>
      <c r="H175" s="642"/>
      <c r="I175" s="642"/>
      <c r="J175" s="642"/>
      <c r="K175" s="642"/>
      <c r="L175" s="642"/>
      <c r="M175" s="642"/>
      <c r="N175" s="642"/>
      <c r="O175" s="642"/>
      <c r="P175" s="642"/>
      <c r="Q175" s="642"/>
      <c r="R175" s="642"/>
      <c r="S175" s="642"/>
      <c r="T175" s="642"/>
      <c r="U175" s="642"/>
    </row>
    <row r="176" spans="1:21" x14ac:dyDescent="0.2">
      <c r="A176" s="642"/>
      <c r="B176" s="642"/>
      <c r="C176" s="642"/>
      <c r="D176" s="642"/>
      <c r="E176" s="642"/>
      <c r="F176" s="642"/>
      <c r="G176" s="642"/>
      <c r="H176" s="642"/>
      <c r="I176" s="642"/>
      <c r="J176" s="642"/>
      <c r="K176" s="642"/>
      <c r="L176" s="642"/>
      <c r="M176" s="642"/>
      <c r="N176" s="642"/>
      <c r="O176" s="642"/>
      <c r="P176" s="642"/>
      <c r="Q176" s="642"/>
      <c r="R176" s="642"/>
      <c r="S176" s="642"/>
      <c r="T176" s="642"/>
      <c r="U176" s="642"/>
    </row>
    <row r="177" spans="1:21" x14ac:dyDescent="0.2">
      <c r="A177" s="642"/>
      <c r="B177" s="642"/>
      <c r="C177" s="642"/>
      <c r="D177" s="642"/>
      <c r="E177" s="642"/>
      <c r="F177" s="642"/>
      <c r="G177" s="642"/>
      <c r="H177" s="642"/>
      <c r="I177" s="642"/>
      <c r="J177" s="642"/>
      <c r="K177" s="642"/>
      <c r="L177" s="642"/>
      <c r="M177" s="642"/>
      <c r="N177" s="642"/>
      <c r="O177" s="642"/>
      <c r="P177" s="642"/>
      <c r="Q177" s="642"/>
      <c r="R177" s="642"/>
      <c r="S177" s="642"/>
      <c r="T177" s="642"/>
      <c r="U177" s="642"/>
    </row>
    <row r="178" spans="1:21" x14ac:dyDescent="0.2">
      <c r="A178" s="642"/>
      <c r="B178" s="642"/>
      <c r="C178" s="642"/>
      <c r="D178" s="642"/>
      <c r="E178" s="642"/>
      <c r="F178" s="642"/>
      <c r="G178" s="642"/>
      <c r="H178" s="642"/>
      <c r="I178" s="642"/>
      <c r="J178" s="642"/>
      <c r="K178" s="642"/>
      <c r="L178" s="642"/>
      <c r="M178" s="642"/>
      <c r="N178" s="642"/>
      <c r="O178" s="642"/>
      <c r="P178" s="642"/>
      <c r="Q178" s="642"/>
      <c r="R178" s="642"/>
      <c r="S178" s="642"/>
      <c r="T178" s="642"/>
      <c r="U178" s="642"/>
    </row>
    <row r="179" spans="1:21" x14ac:dyDescent="0.2">
      <c r="A179" s="642"/>
      <c r="B179" s="642"/>
      <c r="C179" s="642"/>
      <c r="D179" s="642"/>
      <c r="E179" s="642"/>
      <c r="F179" s="642"/>
      <c r="G179" s="642"/>
      <c r="H179" s="642"/>
      <c r="I179" s="642"/>
      <c r="J179" s="642"/>
      <c r="K179" s="642"/>
      <c r="L179" s="642"/>
      <c r="M179" s="642"/>
      <c r="N179" s="642"/>
      <c r="O179" s="642"/>
      <c r="P179" s="642"/>
      <c r="Q179" s="642"/>
      <c r="R179" s="642"/>
      <c r="S179" s="642"/>
      <c r="T179" s="642"/>
      <c r="U179" s="642"/>
    </row>
    <row r="180" spans="1:21" x14ac:dyDescent="0.2">
      <c r="A180" s="642"/>
      <c r="B180" s="642"/>
      <c r="C180" s="642"/>
      <c r="D180" s="642"/>
      <c r="E180" s="642"/>
      <c r="F180" s="642"/>
      <c r="G180" s="642"/>
      <c r="H180" s="642"/>
      <c r="I180" s="642"/>
      <c r="J180" s="642"/>
      <c r="K180" s="642"/>
      <c r="L180" s="642"/>
      <c r="M180" s="642"/>
      <c r="N180" s="642"/>
      <c r="O180" s="642"/>
      <c r="P180" s="642"/>
      <c r="Q180" s="642"/>
      <c r="R180" s="642"/>
      <c r="S180" s="642"/>
      <c r="T180" s="642"/>
      <c r="U180" s="642"/>
    </row>
    <row r="181" spans="1:21" x14ac:dyDescent="0.2">
      <c r="A181" s="642"/>
      <c r="B181" s="642"/>
      <c r="C181" s="642"/>
      <c r="D181" s="642"/>
      <c r="E181" s="642"/>
      <c r="F181" s="642"/>
      <c r="G181" s="642"/>
      <c r="H181" s="642"/>
      <c r="I181" s="642"/>
      <c r="J181" s="642"/>
      <c r="K181" s="642"/>
      <c r="L181" s="642"/>
      <c r="M181" s="642"/>
      <c r="N181" s="642"/>
      <c r="O181" s="642"/>
      <c r="P181" s="642"/>
      <c r="Q181" s="642"/>
      <c r="R181" s="642"/>
      <c r="S181" s="642"/>
      <c r="T181" s="642"/>
      <c r="U181" s="642"/>
    </row>
    <row r="182" spans="1:21" x14ac:dyDescent="0.2">
      <c r="A182" s="642"/>
      <c r="B182" s="642"/>
      <c r="C182" s="642"/>
      <c r="D182" s="642"/>
      <c r="E182" s="642"/>
      <c r="F182" s="642"/>
      <c r="G182" s="642"/>
      <c r="H182" s="642"/>
      <c r="I182" s="642"/>
      <c r="J182" s="642"/>
      <c r="K182" s="642"/>
      <c r="L182" s="642"/>
      <c r="M182" s="642"/>
      <c r="N182" s="642"/>
      <c r="O182" s="642"/>
      <c r="P182" s="642"/>
      <c r="Q182" s="642"/>
      <c r="R182" s="642"/>
      <c r="S182" s="642"/>
      <c r="T182" s="642"/>
      <c r="U182" s="642"/>
    </row>
    <row r="183" spans="1:21" x14ac:dyDescent="0.2">
      <c r="A183" s="642"/>
      <c r="B183" s="642"/>
      <c r="C183" s="642"/>
      <c r="D183" s="642"/>
      <c r="E183" s="642"/>
      <c r="F183" s="642"/>
      <c r="G183" s="642"/>
      <c r="H183" s="642"/>
      <c r="I183" s="642"/>
      <c r="J183" s="642"/>
      <c r="K183" s="642"/>
      <c r="L183" s="642"/>
      <c r="M183" s="642"/>
      <c r="N183" s="642"/>
      <c r="O183" s="642"/>
      <c r="P183" s="642"/>
      <c r="Q183" s="642"/>
      <c r="R183" s="642"/>
      <c r="S183" s="642"/>
      <c r="T183" s="642"/>
      <c r="U183" s="642"/>
    </row>
    <row r="184" spans="1:21" x14ac:dyDescent="0.2">
      <c r="A184" s="642"/>
      <c r="B184" s="642"/>
      <c r="C184" s="642"/>
      <c r="D184" s="642"/>
      <c r="E184" s="642"/>
      <c r="F184" s="642"/>
      <c r="G184" s="642"/>
      <c r="H184" s="642"/>
      <c r="I184" s="642"/>
      <c r="J184" s="642"/>
      <c r="K184" s="642"/>
      <c r="L184" s="642"/>
      <c r="M184" s="642"/>
      <c r="N184" s="642"/>
      <c r="O184" s="642"/>
      <c r="P184" s="642"/>
      <c r="Q184" s="642"/>
      <c r="R184" s="642"/>
      <c r="S184" s="642"/>
      <c r="T184" s="642"/>
      <c r="U184" s="642"/>
    </row>
    <row r="185" spans="1:21" x14ac:dyDescent="0.2">
      <c r="A185" s="642"/>
      <c r="B185" s="642"/>
      <c r="C185" s="642"/>
      <c r="D185" s="642"/>
      <c r="E185" s="642"/>
      <c r="F185" s="642"/>
      <c r="G185" s="642"/>
      <c r="H185" s="642"/>
      <c r="I185" s="642"/>
      <c r="J185" s="642"/>
      <c r="K185" s="642"/>
      <c r="L185" s="642"/>
      <c r="M185" s="642"/>
      <c r="N185" s="642"/>
      <c r="O185" s="642"/>
      <c r="P185" s="642"/>
      <c r="Q185" s="642"/>
      <c r="R185" s="642"/>
      <c r="S185" s="642"/>
      <c r="T185" s="642"/>
      <c r="U185" s="642"/>
    </row>
    <row r="186" spans="1:21" x14ac:dyDescent="0.2">
      <c r="A186" s="642"/>
      <c r="B186" s="642"/>
      <c r="C186" s="642"/>
      <c r="D186" s="642"/>
      <c r="E186" s="642"/>
      <c r="F186" s="642"/>
      <c r="G186" s="642"/>
      <c r="H186" s="642"/>
      <c r="I186" s="642"/>
      <c r="J186" s="642"/>
      <c r="K186" s="642"/>
      <c r="L186" s="642"/>
      <c r="M186" s="642"/>
      <c r="N186" s="642"/>
      <c r="O186" s="642"/>
      <c r="P186" s="642"/>
      <c r="Q186" s="642"/>
      <c r="R186" s="642"/>
      <c r="S186" s="642"/>
      <c r="T186" s="642"/>
      <c r="U186" s="642"/>
    </row>
    <row r="187" spans="1:21" x14ac:dyDescent="0.2">
      <c r="A187" s="642"/>
      <c r="B187" s="642"/>
      <c r="C187" s="642"/>
      <c r="D187" s="642"/>
      <c r="E187" s="642"/>
      <c r="F187" s="642"/>
      <c r="G187" s="642"/>
      <c r="H187" s="642"/>
      <c r="I187" s="642"/>
      <c r="J187" s="642"/>
      <c r="K187" s="642"/>
      <c r="L187" s="642"/>
      <c r="M187" s="642"/>
      <c r="N187" s="642"/>
      <c r="O187" s="642"/>
      <c r="P187" s="642"/>
      <c r="Q187" s="642"/>
      <c r="R187" s="642"/>
      <c r="S187" s="642"/>
      <c r="T187" s="642"/>
      <c r="U187" s="642"/>
    </row>
    <row r="188" spans="1:21" x14ac:dyDescent="0.2">
      <c r="A188" s="642"/>
      <c r="B188" s="642"/>
      <c r="C188" s="642"/>
      <c r="D188" s="642"/>
      <c r="E188" s="642"/>
      <c r="F188" s="642"/>
      <c r="G188" s="642"/>
      <c r="H188" s="642"/>
      <c r="I188" s="642"/>
      <c r="J188" s="642"/>
      <c r="K188" s="642"/>
      <c r="L188" s="642"/>
      <c r="M188" s="642"/>
      <c r="N188" s="642"/>
      <c r="O188" s="642"/>
      <c r="P188" s="642"/>
      <c r="Q188" s="642"/>
      <c r="R188" s="642"/>
      <c r="S188" s="642"/>
      <c r="T188" s="642"/>
      <c r="U188" s="642"/>
    </row>
    <row r="189" spans="1:21" x14ac:dyDescent="0.2">
      <c r="A189" s="642"/>
      <c r="B189" s="642"/>
      <c r="C189" s="642"/>
      <c r="D189" s="642"/>
      <c r="E189" s="642"/>
      <c r="F189" s="642"/>
      <c r="G189" s="642"/>
      <c r="H189" s="642"/>
      <c r="I189" s="642"/>
      <c r="J189" s="642"/>
      <c r="K189" s="642"/>
      <c r="L189" s="642"/>
      <c r="M189" s="642"/>
      <c r="N189" s="642"/>
      <c r="O189" s="642"/>
      <c r="P189" s="642"/>
      <c r="Q189" s="642"/>
      <c r="R189" s="642"/>
      <c r="S189" s="642"/>
      <c r="T189" s="642"/>
      <c r="U189" s="642"/>
    </row>
    <row r="190" spans="1:21" x14ac:dyDescent="0.2">
      <c r="A190" s="642"/>
      <c r="B190" s="642"/>
      <c r="C190" s="642"/>
      <c r="D190" s="642"/>
      <c r="E190" s="642"/>
      <c r="F190" s="642"/>
      <c r="G190" s="642"/>
      <c r="H190" s="642"/>
      <c r="I190" s="642"/>
      <c r="J190" s="642"/>
      <c r="K190" s="642"/>
      <c r="L190" s="642"/>
      <c r="M190" s="642"/>
      <c r="N190" s="642"/>
      <c r="O190" s="642"/>
      <c r="P190" s="642"/>
      <c r="Q190" s="642"/>
      <c r="R190" s="642"/>
      <c r="S190" s="642"/>
      <c r="T190" s="642"/>
      <c r="U190" s="642"/>
    </row>
    <row r="191" spans="1:21" x14ac:dyDescent="0.2">
      <c r="A191" s="642"/>
      <c r="B191" s="642"/>
      <c r="C191" s="642"/>
      <c r="D191" s="642"/>
      <c r="E191" s="642"/>
      <c r="F191" s="642"/>
      <c r="G191" s="642"/>
      <c r="H191" s="642"/>
      <c r="I191" s="642"/>
      <c r="J191" s="642"/>
      <c r="K191" s="642"/>
      <c r="L191" s="642"/>
      <c r="M191" s="642"/>
      <c r="N191" s="642"/>
      <c r="O191" s="642"/>
      <c r="P191" s="642"/>
      <c r="Q191" s="642"/>
      <c r="R191" s="642"/>
      <c r="S191" s="642"/>
      <c r="T191" s="642"/>
      <c r="U191" s="642"/>
    </row>
    <row r="192" spans="1:21" x14ac:dyDescent="0.2">
      <c r="A192" s="642"/>
      <c r="B192" s="642"/>
      <c r="C192" s="642"/>
      <c r="D192" s="642"/>
      <c r="E192" s="642"/>
      <c r="F192" s="642"/>
      <c r="G192" s="642"/>
      <c r="H192" s="642"/>
      <c r="I192" s="642"/>
      <c r="J192" s="642"/>
      <c r="K192" s="642"/>
      <c r="L192" s="642"/>
      <c r="M192" s="642"/>
      <c r="N192" s="642"/>
      <c r="O192" s="642"/>
      <c r="P192" s="642"/>
      <c r="Q192" s="642"/>
      <c r="R192" s="642"/>
      <c r="S192" s="642"/>
      <c r="T192" s="642"/>
      <c r="U192" s="642"/>
    </row>
    <row r="193" spans="1:21" x14ac:dyDescent="0.2">
      <c r="A193" s="642"/>
      <c r="B193" s="642"/>
      <c r="C193" s="642"/>
      <c r="D193" s="642"/>
      <c r="E193" s="642"/>
      <c r="F193" s="642"/>
      <c r="G193" s="642"/>
      <c r="H193" s="642"/>
      <c r="I193" s="642"/>
      <c r="J193" s="642"/>
      <c r="K193" s="642"/>
      <c r="L193" s="642"/>
      <c r="M193" s="642"/>
      <c r="N193" s="642"/>
      <c r="O193" s="642"/>
      <c r="P193" s="642"/>
      <c r="Q193" s="642"/>
      <c r="R193" s="642"/>
      <c r="S193" s="642"/>
      <c r="T193" s="642"/>
      <c r="U193" s="642"/>
    </row>
    <row r="194" spans="1:21" x14ac:dyDescent="0.2">
      <c r="A194" s="642"/>
      <c r="B194" s="642"/>
      <c r="C194" s="642"/>
      <c r="D194" s="642"/>
      <c r="E194" s="642"/>
      <c r="F194" s="642"/>
      <c r="G194" s="642"/>
      <c r="H194" s="642"/>
      <c r="I194" s="642"/>
      <c r="J194" s="642"/>
      <c r="K194" s="642"/>
      <c r="L194" s="642"/>
      <c r="M194" s="642"/>
      <c r="N194" s="642"/>
      <c r="O194" s="642"/>
      <c r="P194" s="642"/>
      <c r="Q194" s="642"/>
      <c r="R194" s="642"/>
      <c r="S194" s="642"/>
      <c r="T194" s="642"/>
      <c r="U194" s="642"/>
    </row>
    <row r="195" spans="1:21" x14ac:dyDescent="0.2">
      <c r="A195" s="642"/>
      <c r="B195" s="642"/>
      <c r="C195" s="642"/>
      <c r="D195" s="642"/>
      <c r="E195" s="642"/>
      <c r="F195" s="642"/>
      <c r="G195" s="642"/>
      <c r="H195" s="642"/>
      <c r="I195" s="642"/>
      <c r="J195" s="642"/>
      <c r="K195" s="642"/>
      <c r="L195" s="642"/>
      <c r="M195" s="642"/>
      <c r="N195" s="642"/>
      <c r="O195" s="642"/>
      <c r="P195" s="642"/>
      <c r="Q195" s="642"/>
      <c r="R195" s="642"/>
      <c r="S195" s="642"/>
      <c r="T195" s="642"/>
      <c r="U195" s="642"/>
    </row>
    <row r="196" spans="1:21" x14ac:dyDescent="0.2">
      <c r="A196" s="642"/>
      <c r="B196" s="642"/>
      <c r="C196" s="642"/>
      <c r="D196" s="642"/>
      <c r="E196" s="642"/>
      <c r="F196" s="642"/>
      <c r="G196" s="642"/>
      <c r="H196" s="642"/>
      <c r="I196" s="642"/>
      <c r="J196" s="642"/>
      <c r="K196" s="642"/>
      <c r="L196" s="642"/>
      <c r="M196" s="642"/>
      <c r="N196" s="642"/>
      <c r="O196" s="642"/>
      <c r="P196" s="642"/>
      <c r="Q196" s="642"/>
      <c r="R196" s="642"/>
      <c r="S196" s="642"/>
      <c r="T196" s="642"/>
      <c r="U196" s="642"/>
    </row>
    <row r="197" spans="1:21" x14ac:dyDescent="0.2">
      <c r="A197" s="642"/>
      <c r="B197" s="642"/>
      <c r="C197" s="642"/>
      <c r="D197" s="642"/>
      <c r="E197" s="642"/>
      <c r="F197" s="642"/>
      <c r="G197" s="642"/>
      <c r="H197" s="642"/>
      <c r="I197" s="642"/>
      <c r="J197" s="642"/>
      <c r="K197" s="642"/>
      <c r="L197" s="642"/>
      <c r="M197" s="642"/>
      <c r="N197" s="642"/>
      <c r="O197" s="642"/>
      <c r="P197" s="642"/>
      <c r="Q197" s="642"/>
      <c r="R197" s="642"/>
      <c r="S197" s="642"/>
      <c r="T197" s="642"/>
      <c r="U197" s="642"/>
    </row>
    <row r="198" spans="1:21" x14ac:dyDescent="0.2">
      <c r="A198" s="642"/>
      <c r="B198" s="642"/>
      <c r="C198" s="642"/>
      <c r="D198" s="642"/>
      <c r="E198" s="642"/>
      <c r="F198" s="642"/>
      <c r="G198" s="642"/>
      <c r="H198" s="642"/>
      <c r="I198" s="642"/>
      <c r="J198" s="642"/>
      <c r="K198" s="642"/>
      <c r="L198" s="642"/>
      <c r="M198" s="642"/>
      <c r="N198" s="642"/>
      <c r="O198" s="642"/>
      <c r="P198" s="642"/>
      <c r="Q198" s="642"/>
      <c r="R198" s="642"/>
      <c r="S198" s="642"/>
      <c r="T198" s="642"/>
      <c r="U198" s="642"/>
    </row>
    <row r="199" spans="1:21" x14ac:dyDescent="0.2">
      <c r="A199" s="642"/>
      <c r="B199" s="642"/>
      <c r="C199" s="64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</row>
    <row r="200" spans="1:21" x14ac:dyDescent="0.2">
      <c r="A200" s="642"/>
      <c r="B200" s="642"/>
      <c r="C200" s="642"/>
      <c r="D200" s="642"/>
      <c r="E200" s="642"/>
      <c r="F200" s="642"/>
      <c r="G200" s="642"/>
      <c r="H200" s="642"/>
      <c r="I200" s="642"/>
      <c r="J200" s="642"/>
      <c r="K200" s="642"/>
      <c r="L200" s="642"/>
      <c r="M200" s="642"/>
      <c r="N200" s="642"/>
      <c r="O200" s="642"/>
      <c r="P200" s="642"/>
      <c r="Q200" s="642"/>
      <c r="R200" s="642"/>
      <c r="S200" s="642"/>
      <c r="T200" s="642"/>
      <c r="U200" s="642"/>
    </row>
    <row r="201" spans="1:21" x14ac:dyDescent="0.2">
      <c r="A201" s="642"/>
      <c r="B201" s="642"/>
      <c r="C201" s="642"/>
      <c r="D201" s="642"/>
      <c r="E201" s="642"/>
      <c r="F201" s="642"/>
      <c r="G201" s="642"/>
      <c r="H201" s="642"/>
      <c r="I201" s="642"/>
      <c r="J201" s="642"/>
      <c r="K201" s="642"/>
      <c r="L201" s="642"/>
      <c r="M201" s="642"/>
      <c r="N201" s="642"/>
      <c r="O201" s="642"/>
      <c r="P201" s="642"/>
      <c r="Q201" s="642"/>
      <c r="R201" s="642"/>
      <c r="S201" s="642"/>
      <c r="T201" s="642"/>
      <c r="U201" s="642"/>
    </row>
    <row r="202" spans="1:21" x14ac:dyDescent="0.2">
      <c r="A202" s="642"/>
      <c r="B202" s="642"/>
      <c r="C202" s="642"/>
      <c r="D202" s="642"/>
      <c r="E202" s="642"/>
      <c r="F202" s="642"/>
      <c r="G202" s="642"/>
      <c r="H202" s="642"/>
      <c r="I202" s="642"/>
      <c r="J202" s="642"/>
      <c r="K202" s="642"/>
      <c r="L202" s="642"/>
      <c r="M202" s="642"/>
      <c r="N202" s="642"/>
      <c r="O202" s="642"/>
      <c r="P202" s="642"/>
      <c r="Q202" s="642"/>
      <c r="R202" s="642"/>
      <c r="S202" s="642"/>
      <c r="T202" s="642"/>
      <c r="U202" s="642"/>
    </row>
    <row r="203" spans="1:21" x14ac:dyDescent="0.2">
      <c r="A203" s="642"/>
      <c r="B203" s="642"/>
      <c r="C203" s="642"/>
      <c r="D203" s="642"/>
      <c r="E203" s="642"/>
      <c r="F203" s="642"/>
      <c r="G203" s="642"/>
      <c r="H203" s="642"/>
      <c r="I203" s="642"/>
      <c r="J203" s="642"/>
      <c r="K203" s="642"/>
      <c r="L203" s="642"/>
      <c r="M203" s="642"/>
      <c r="N203" s="642"/>
      <c r="O203" s="642"/>
      <c r="P203" s="642"/>
      <c r="Q203" s="642"/>
      <c r="R203" s="642"/>
      <c r="S203" s="642"/>
      <c r="T203" s="642"/>
      <c r="U203" s="642"/>
    </row>
    <row r="204" spans="1:21" x14ac:dyDescent="0.2">
      <c r="A204" s="642"/>
      <c r="B204" s="642"/>
      <c r="C204" s="642"/>
      <c r="D204" s="642"/>
      <c r="E204" s="642"/>
      <c r="F204" s="642"/>
      <c r="G204" s="642"/>
      <c r="H204" s="642"/>
      <c r="I204" s="642"/>
      <c r="J204" s="642"/>
      <c r="K204" s="642"/>
      <c r="L204" s="642"/>
      <c r="M204" s="642"/>
      <c r="N204" s="642"/>
      <c r="O204" s="642"/>
      <c r="P204" s="642"/>
      <c r="Q204" s="642"/>
      <c r="R204" s="642"/>
      <c r="S204" s="642"/>
      <c r="T204" s="642"/>
      <c r="U204" s="642"/>
    </row>
    <row r="205" spans="1:21" x14ac:dyDescent="0.2">
      <c r="A205" s="642"/>
      <c r="B205" s="642"/>
      <c r="C205" s="642"/>
      <c r="D205" s="642"/>
      <c r="E205" s="642"/>
      <c r="F205" s="642"/>
      <c r="G205" s="642"/>
      <c r="H205" s="642"/>
      <c r="I205" s="642"/>
      <c r="J205" s="642"/>
      <c r="K205" s="642"/>
      <c r="L205" s="642"/>
      <c r="M205" s="642"/>
      <c r="N205" s="642"/>
      <c r="O205" s="642"/>
      <c r="P205" s="642"/>
      <c r="Q205" s="642"/>
      <c r="R205" s="642"/>
      <c r="S205" s="642"/>
      <c r="T205" s="642"/>
      <c r="U205" s="642"/>
    </row>
    <row r="206" spans="1:21" x14ac:dyDescent="0.2">
      <c r="A206" s="642"/>
      <c r="B206" s="642"/>
      <c r="C206" s="642"/>
      <c r="D206" s="642"/>
      <c r="E206" s="642"/>
      <c r="F206" s="642"/>
      <c r="G206" s="642"/>
      <c r="H206" s="642"/>
      <c r="I206" s="642"/>
      <c r="J206" s="642"/>
      <c r="K206" s="642"/>
      <c r="L206" s="642"/>
      <c r="M206" s="642"/>
      <c r="N206" s="642"/>
      <c r="O206" s="642"/>
      <c r="P206" s="642"/>
      <c r="Q206" s="642"/>
      <c r="R206" s="642"/>
      <c r="S206" s="642"/>
      <c r="T206" s="642"/>
      <c r="U206" s="642"/>
    </row>
    <row r="207" spans="1:21" x14ac:dyDescent="0.2">
      <c r="A207" s="642"/>
      <c r="B207" s="642"/>
      <c r="C207" s="642"/>
      <c r="D207" s="642"/>
      <c r="E207" s="642"/>
      <c r="F207" s="642"/>
      <c r="G207" s="642"/>
      <c r="H207" s="642"/>
      <c r="I207" s="642"/>
      <c r="J207" s="642"/>
      <c r="K207" s="642"/>
      <c r="L207" s="642"/>
      <c r="M207" s="642"/>
      <c r="N207" s="642"/>
      <c r="O207" s="642"/>
      <c r="P207" s="642"/>
      <c r="Q207" s="642"/>
      <c r="R207" s="642"/>
      <c r="S207" s="642"/>
      <c r="T207" s="642"/>
      <c r="U207" s="642"/>
    </row>
    <row r="208" spans="1:21" x14ac:dyDescent="0.2">
      <c r="A208" s="642"/>
      <c r="B208" s="642"/>
      <c r="C208" s="642"/>
      <c r="D208" s="642"/>
      <c r="E208" s="642"/>
      <c r="F208" s="642"/>
      <c r="G208" s="642"/>
      <c r="H208" s="642"/>
      <c r="I208" s="642"/>
      <c r="J208" s="642"/>
      <c r="K208" s="642"/>
      <c r="L208" s="642"/>
      <c r="M208" s="642"/>
      <c r="N208" s="642"/>
      <c r="O208" s="642"/>
      <c r="P208" s="642"/>
      <c r="Q208" s="642"/>
      <c r="R208" s="642"/>
      <c r="S208" s="642"/>
      <c r="T208" s="642"/>
      <c r="U208" s="642"/>
    </row>
    <row r="209" spans="1:21" x14ac:dyDescent="0.2">
      <c r="A209" s="642"/>
      <c r="B209" s="642"/>
      <c r="C209" s="642"/>
      <c r="D209" s="642"/>
      <c r="E209" s="642"/>
      <c r="F209" s="642"/>
      <c r="G209" s="642"/>
      <c r="H209" s="642"/>
      <c r="I209" s="642"/>
      <c r="J209" s="642"/>
      <c r="K209" s="642"/>
      <c r="L209" s="642"/>
      <c r="M209" s="642"/>
      <c r="N209" s="642"/>
      <c r="O209" s="642"/>
      <c r="P209" s="642"/>
      <c r="Q209" s="642"/>
      <c r="R209" s="642"/>
      <c r="S209" s="642"/>
      <c r="T209" s="642"/>
      <c r="U209" s="642"/>
    </row>
    <row r="210" spans="1:21" x14ac:dyDescent="0.2">
      <c r="A210" s="642"/>
      <c r="B210" s="642"/>
      <c r="C210" s="642"/>
      <c r="D210" s="642"/>
      <c r="E210" s="642"/>
      <c r="F210" s="642"/>
      <c r="G210" s="642"/>
      <c r="H210" s="642"/>
      <c r="I210" s="642"/>
      <c r="J210" s="642"/>
      <c r="K210" s="642"/>
      <c r="L210" s="642"/>
      <c r="M210" s="642"/>
      <c r="N210" s="642"/>
      <c r="O210" s="642"/>
      <c r="P210" s="642"/>
      <c r="Q210" s="642"/>
      <c r="R210" s="642"/>
      <c r="S210" s="642"/>
      <c r="T210" s="642"/>
      <c r="U210" s="642"/>
    </row>
    <row r="211" spans="1:21" x14ac:dyDescent="0.2">
      <c r="A211" s="642"/>
      <c r="B211" s="642"/>
      <c r="C211" s="642"/>
      <c r="D211" s="642"/>
      <c r="E211" s="642"/>
      <c r="F211" s="642"/>
      <c r="G211" s="642"/>
      <c r="H211" s="642"/>
      <c r="I211" s="642"/>
      <c r="J211" s="642"/>
      <c r="K211" s="642"/>
      <c r="L211" s="642"/>
      <c r="M211" s="642"/>
      <c r="N211" s="642"/>
      <c r="O211" s="642"/>
      <c r="P211" s="642"/>
      <c r="Q211" s="642"/>
      <c r="R211" s="642"/>
      <c r="S211" s="642"/>
      <c r="T211" s="642"/>
      <c r="U211" s="642"/>
    </row>
    <row r="212" spans="1:21" x14ac:dyDescent="0.2">
      <c r="A212" s="642"/>
      <c r="B212" s="642"/>
      <c r="C212" s="642"/>
      <c r="D212" s="642"/>
      <c r="E212" s="642"/>
      <c r="F212" s="642"/>
      <c r="G212" s="642"/>
      <c r="H212" s="642"/>
      <c r="I212" s="642"/>
      <c r="J212" s="642"/>
      <c r="K212" s="642"/>
      <c r="L212" s="642"/>
      <c r="M212" s="642"/>
      <c r="N212" s="642"/>
      <c r="O212" s="642"/>
      <c r="P212" s="642"/>
      <c r="Q212" s="642"/>
      <c r="R212" s="642"/>
      <c r="S212" s="642"/>
      <c r="T212" s="642"/>
      <c r="U212" s="642"/>
    </row>
    <row r="213" spans="1:21" x14ac:dyDescent="0.2">
      <c r="A213" s="642"/>
      <c r="B213" s="642"/>
      <c r="C213" s="642"/>
      <c r="D213" s="642"/>
      <c r="E213" s="642"/>
      <c r="F213" s="642"/>
      <c r="G213" s="642"/>
      <c r="H213" s="642"/>
      <c r="I213" s="642"/>
      <c r="J213" s="642"/>
      <c r="K213" s="642"/>
      <c r="L213" s="642"/>
      <c r="M213" s="642"/>
      <c r="N213" s="642"/>
      <c r="O213" s="642"/>
      <c r="P213" s="642"/>
      <c r="Q213" s="642"/>
      <c r="R213" s="642"/>
      <c r="S213" s="642"/>
      <c r="T213" s="642"/>
      <c r="U213" s="642"/>
    </row>
    <row r="214" spans="1:21" x14ac:dyDescent="0.2">
      <c r="A214" s="642"/>
      <c r="B214" s="642"/>
      <c r="C214" s="642"/>
      <c r="D214" s="642"/>
      <c r="E214" s="642"/>
      <c r="F214" s="642"/>
      <c r="G214" s="642"/>
      <c r="H214" s="642"/>
      <c r="I214" s="642"/>
      <c r="J214" s="642"/>
      <c r="K214" s="642"/>
      <c r="L214" s="642"/>
      <c r="M214" s="642"/>
      <c r="N214" s="642"/>
      <c r="O214" s="642"/>
      <c r="P214" s="642"/>
      <c r="Q214" s="642"/>
      <c r="R214" s="642"/>
      <c r="S214" s="642"/>
      <c r="T214" s="642"/>
      <c r="U214" s="642"/>
    </row>
    <row r="215" spans="1:21" x14ac:dyDescent="0.2">
      <c r="A215" s="642"/>
      <c r="B215" s="642"/>
      <c r="C215" s="642"/>
      <c r="D215" s="642"/>
      <c r="E215" s="642"/>
      <c r="F215" s="642"/>
      <c r="G215" s="642"/>
      <c r="H215" s="642"/>
      <c r="I215" s="642"/>
      <c r="J215" s="642"/>
      <c r="K215" s="642"/>
      <c r="L215" s="642"/>
      <c r="M215" s="642"/>
      <c r="N215" s="642"/>
      <c r="O215" s="642"/>
      <c r="P215" s="642"/>
      <c r="Q215" s="642"/>
      <c r="R215" s="642"/>
      <c r="S215" s="642"/>
      <c r="T215" s="642"/>
      <c r="U215" s="642"/>
    </row>
    <row r="216" spans="1:21" x14ac:dyDescent="0.2">
      <c r="A216" s="642"/>
      <c r="B216" s="642"/>
      <c r="C216" s="642"/>
      <c r="D216" s="642"/>
      <c r="E216" s="642"/>
      <c r="F216" s="642"/>
      <c r="G216" s="642"/>
      <c r="H216" s="642"/>
      <c r="I216" s="642"/>
      <c r="J216" s="642"/>
      <c r="K216" s="642"/>
      <c r="L216" s="642"/>
      <c r="M216" s="642"/>
      <c r="N216" s="642"/>
      <c r="O216" s="642"/>
      <c r="P216" s="642"/>
      <c r="Q216" s="642"/>
      <c r="R216" s="642"/>
      <c r="S216" s="642"/>
      <c r="T216" s="642"/>
      <c r="U216" s="642"/>
    </row>
    <row r="217" spans="1:21" x14ac:dyDescent="0.2">
      <c r="A217" s="642"/>
      <c r="B217" s="642"/>
      <c r="C217" s="642"/>
      <c r="D217" s="642"/>
      <c r="E217" s="642"/>
      <c r="F217" s="642"/>
      <c r="G217" s="642"/>
      <c r="H217" s="642"/>
      <c r="I217" s="642"/>
      <c r="J217" s="642"/>
      <c r="K217" s="642"/>
      <c r="L217" s="642"/>
      <c r="M217" s="642"/>
      <c r="N217" s="642"/>
      <c r="O217" s="642"/>
      <c r="P217" s="642"/>
      <c r="Q217" s="642"/>
      <c r="R217" s="642"/>
      <c r="S217" s="642"/>
      <c r="T217" s="642"/>
      <c r="U217" s="642"/>
    </row>
    <row r="218" spans="1:21" x14ac:dyDescent="0.2">
      <c r="A218" s="642"/>
      <c r="B218" s="642"/>
      <c r="C218" s="642"/>
      <c r="D218" s="642"/>
      <c r="E218" s="642"/>
      <c r="F218" s="642"/>
      <c r="G218" s="642"/>
      <c r="H218" s="642"/>
      <c r="I218" s="642"/>
      <c r="J218" s="642"/>
      <c r="K218" s="642"/>
      <c r="L218" s="642"/>
      <c r="M218" s="642"/>
      <c r="N218" s="642"/>
      <c r="O218" s="642"/>
      <c r="P218" s="642"/>
      <c r="Q218" s="642"/>
      <c r="R218" s="642"/>
      <c r="S218" s="642"/>
      <c r="T218" s="642"/>
      <c r="U218" s="642"/>
    </row>
    <row r="219" spans="1:21" x14ac:dyDescent="0.2">
      <c r="A219" s="642"/>
      <c r="B219" s="642"/>
      <c r="C219" s="642"/>
      <c r="D219" s="642"/>
      <c r="E219" s="642"/>
      <c r="F219" s="642"/>
      <c r="G219" s="642"/>
      <c r="H219" s="642"/>
      <c r="I219" s="642"/>
      <c r="J219" s="642"/>
      <c r="K219" s="642"/>
      <c r="L219" s="642"/>
      <c r="M219" s="642"/>
      <c r="N219" s="642"/>
      <c r="O219" s="642"/>
      <c r="P219" s="642"/>
      <c r="Q219" s="642"/>
      <c r="R219" s="642"/>
      <c r="S219" s="642"/>
      <c r="T219" s="642"/>
      <c r="U219" s="642"/>
    </row>
    <row r="220" spans="1:21" x14ac:dyDescent="0.2">
      <c r="A220" s="642"/>
      <c r="B220" s="642"/>
      <c r="C220" s="642"/>
      <c r="D220" s="642"/>
      <c r="E220" s="642"/>
      <c r="F220" s="642"/>
      <c r="G220" s="642"/>
      <c r="H220" s="642"/>
      <c r="I220" s="642"/>
      <c r="J220" s="642"/>
      <c r="K220" s="642"/>
      <c r="L220" s="642"/>
      <c r="M220" s="642"/>
      <c r="N220" s="642"/>
      <c r="O220" s="642"/>
      <c r="P220" s="642"/>
      <c r="Q220" s="642"/>
      <c r="R220" s="642"/>
      <c r="S220" s="642"/>
      <c r="T220" s="642"/>
      <c r="U220" s="642"/>
    </row>
    <row r="221" spans="1:21" x14ac:dyDescent="0.2">
      <c r="A221" s="642"/>
      <c r="B221" s="642"/>
      <c r="C221" s="642"/>
      <c r="D221" s="642"/>
      <c r="E221" s="642"/>
      <c r="F221" s="642"/>
      <c r="G221" s="642"/>
      <c r="H221" s="642"/>
      <c r="I221" s="642"/>
      <c r="J221" s="642"/>
      <c r="K221" s="642"/>
      <c r="L221" s="642"/>
      <c r="M221" s="642"/>
      <c r="N221" s="642"/>
      <c r="O221" s="642"/>
      <c r="P221" s="642"/>
      <c r="Q221" s="642"/>
      <c r="R221" s="642"/>
      <c r="S221" s="642"/>
      <c r="T221" s="642"/>
      <c r="U221" s="642"/>
    </row>
    <row r="222" spans="1:21" x14ac:dyDescent="0.2">
      <c r="A222" s="642"/>
      <c r="B222" s="642"/>
      <c r="C222" s="642"/>
      <c r="D222" s="642"/>
      <c r="E222" s="642"/>
      <c r="F222" s="642"/>
      <c r="G222" s="642"/>
      <c r="H222" s="642"/>
      <c r="I222" s="642"/>
      <c r="J222" s="642"/>
      <c r="K222" s="642"/>
      <c r="L222" s="642"/>
      <c r="M222" s="642"/>
      <c r="N222" s="642"/>
      <c r="O222" s="642"/>
      <c r="P222" s="642"/>
      <c r="Q222" s="642"/>
      <c r="R222" s="642"/>
      <c r="S222" s="642"/>
      <c r="T222" s="642"/>
      <c r="U222" s="642"/>
    </row>
    <row r="223" spans="1:21" x14ac:dyDescent="0.2">
      <c r="A223" s="642"/>
      <c r="B223" s="642"/>
      <c r="C223" s="642"/>
      <c r="D223" s="642"/>
      <c r="E223" s="642"/>
      <c r="F223" s="642"/>
      <c r="G223" s="642"/>
      <c r="H223" s="642"/>
      <c r="I223" s="642"/>
      <c r="J223" s="642"/>
      <c r="K223" s="642"/>
      <c r="L223" s="642"/>
      <c r="M223" s="642"/>
      <c r="N223" s="642"/>
      <c r="O223" s="642"/>
      <c r="P223" s="642"/>
      <c r="Q223" s="642"/>
      <c r="R223" s="642"/>
      <c r="S223" s="642"/>
      <c r="T223" s="642"/>
      <c r="U223" s="642"/>
    </row>
    <row r="224" spans="1:21" x14ac:dyDescent="0.2">
      <c r="A224" s="642"/>
      <c r="B224" s="642"/>
      <c r="C224" s="642"/>
      <c r="D224" s="642"/>
      <c r="E224" s="642"/>
      <c r="F224" s="642"/>
      <c r="G224" s="642"/>
      <c r="H224" s="642"/>
      <c r="I224" s="642"/>
      <c r="J224" s="642"/>
      <c r="K224" s="642"/>
      <c r="L224" s="642"/>
      <c r="M224" s="642"/>
      <c r="N224" s="642"/>
      <c r="O224" s="642"/>
      <c r="P224" s="642"/>
      <c r="Q224" s="642"/>
      <c r="R224" s="642"/>
      <c r="S224" s="642"/>
      <c r="T224" s="642"/>
      <c r="U224" s="642"/>
    </row>
    <row r="225" spans="1:21" x14ac:dyDescent="0.2">
      <c r="A225" s="642"/>
      <c r="B225" s="642"/>
      <c r="C225" s="642"/>
      <c r="D225" s="642"/>
      <c r="E225" s="642"/>
      <c r="F225" s="642"/>
      <c r="G225" s="642"/>
      <c r="H225" s="642"/>
      <c r="I225" s="642"/>
      <c r="J225" s="642"/>
      <c r="K225" s="642"/>
      <c r="L225" s="642"/>
      <c r="M225" s="642"/>
      <c r="N225" s="642"/>
      <c r="O225" s="642"/>
      <c r="P225" s="642"/>
      <c r="Q225" s="642"/>
      <c r="R225" s="642"/>
      <c r="S225" s="642"/>
      <c r="T225" s="642"/>
      <c r="U225" s="642"/>
    </row>
    <row r="226" spans="1:21" x14ac:dyDescent="0.2">
      <c r="A226" s="642"/>
      <c r="B226" s="642"/>
      <c r="C226" s="642"/>
      <c r="D226" s="642"/>
      <c r="E226" s="642"/>
      <c r="F226" s="642"/>
      <c r="G226" s="642"/>
      <c r="H226" s="642"/>
      <c r="I226" s="642"/>
      <c r="J226" s="642"/>
      <c r="K226" s="642"/>
      <c r="L226" s="642"/>
      <c r="M226" s="642"/>
      <c r="N226" s="642"/>
      <c r="O226" s="642"/>
      <c r="P226" s="642"/>
      <c r="Q226" s="642"/>
      <c r="R226" s="642"/>
      <c r="S226" s="642"/>
      <c r="T226" s="642"/>
      <c r="U226" s="642"/>
    </row>
    <row r="227" spans="1:21" x14ac:dyDescent="0.2">
      <c r="A227" s="642"/>
      <c r="B227" s="642"/>
      <c r="C227" s="642"/>
      <c r="D227" s="642"/>
      <c r="E227" s="642"/>
      <c r="F227" s="642"/>
      <c r="G227" s="642"/>
      <c r="H227" s="642"/>
      <c r="I227" s="642"/>
      <c r="J227" s="642"/>
      <c r="K227" s="642"/>
      <c r="L227" s="642"/>
      <c r="M227" s="642"/>
      <c r="N227" s="642"/>
      <c r="O227" s="642"/>
      <c r="P227" s="642"/>
      <c r="Q227" s="642"/>
      <c r="R227" s="642"/>
      <c r="S227" s="642"/>
      <c r="T227" s="642"/>
      <c r="U227" s="642"/>
    </row>
    <row r="228" spans="1:21" x14ac:dyDescent="0.2">
      <c r="A228" s="642"/>
      <c r="B228" s="642"/>
      <c r="C228" s="642"/>
      <c r="D228" s="642"/>
      <c r="E228" s="642"/>
      <c r="F228" s="642"/>
      <c r="G228" s="642"/>
      <c r="H228" s="642"/>
      <c r="I228" s="642"/>
      <c r="J228" s="642"/>
      <c r="K228" s="642"/>
      <c r="L228" s="642"/>
      <c r="M228" s="642"/>
      <c r="N228" s="642"/>
      <c r="O228" s="642"/>
      <c r="P228" s="642"/>
      <c r="Q228" s="642"/>
      <c r="R228" s="642"/>
      <c r="S228" s="642"/>
      <c r="T228" s="642"/>
      <c r="U228" s="642"/>
    </row>
    <row r="229" spans="1:21" x14ac:dyDescent="0.2">
      <c r="A229" s="642"/>
      <c r="B229" s="642"/>
      <c r="C229" s="642"/>
      <c r="D229" s="642"/>
      <c r="E229" s="642"/>
      <c r="F229" s="642"/>
      <c r="G229" s="642"/>
      <c r="H229" s="642"/>
      <c r="I229" s="642"/>
      <c r="J229" s="642"/>
      <c r="K229" s="642"/>
      <c r="L229" s="642"/>
      <c r="M229" s="642"/>
      <c r="N229" s="642"/>
      <c r="O229" s="642"/>
      <c r="P229" s="642"/>
      <c r="Q229" s="642"/>
      <c r="R229" s="642"/>
      <c r="S229" s="642"/>
      <c r="T229" s="642"/>
      <c r="U229" s="642"/>
    </row>
    <row r="230" spans="1:21" x14ac:dyDescent="0.2">
      <c r="A230" s="642"/>
      <c r="B230" s="642"/>
      <c r="C230" s="642"/>
      <c r="D230" s="642"/>
      <c r="E230" s="642"/>
      <c r="F230" s="642"/>
      <c r="G230" s="642"/>
      <c r="H230" s="642"/>
      <c r="I230" s="642"/>
      <c r="J230" s="642"/>
      <c r="K230" s="642"/>
      <c r="L230" s="642"/>
      <c r="M230" s="642"/>
      <c r="N230" s="642"/>
      <c r="O230" s="642"/>
      <c r="P230" s="642"/>
      <c r="Q230" s="642"/>
      <c r="R230" s="642"/>
      <c r="S230" s="642"/>
      <c r="T230" s="642"/>
      <c r="U230" s="642"/>
    </row>
    <row r="231" spans="1:21" x14ac:dyDescent="0.2">
      <c r="A231" s="642"/>
      <c r="B231" s="642"/>
      <c r="C231" s="642"/>
      <c r="D231" s="642"/>
      <c r="E231" s="642"/>
      <c r="F231" s="642"/>
      <c r="G231" s="642"/>
      <c r="H231" s="642"/>
      <c r="I231" s="642"/>
      <c r="J231" s="642"/>
      <c r="K231" s="642"/>
      <c r="L231" s="642"/>
      <c r="M231" s="642"/>
      <c r="N231" s="642"/>
      <c r="O231" s="642"/>
      <c r="P231" s="642"/>
      <c r="Q231" s="642"/>
      <c r="R231" s="642"/>
      <c r="S231" s="642"/>
      <c r="T231" s="642"/>
      <c r="U231" s="642"/>
    </row>
    <row r="232" spans="1:21" x14ac:dyDescent="0.2">
      <c r="A232" s="642"/>
      <c r="B232" s="642"/>
      <c r="C232" s="642"/>
      <c r="D232" s="642"/>
      <c r="E232" s="642"/>
      <c r="F232" s="642"/>
      <c r="G232" s="642"/>
      <c r="H232" s="642"/>
      <c r="I232" s="642"/>
      <c r="J232" s="642"/>
      <c r="K232" s="642"/>
      <c r="L232" s="642"/>
      <c r="M232" s="642"/>
      <c r="N232" s="642"/>
      <c r="O232" s="642"/>
      <c r="P232" s="642"/>
      <c r="Q232" s="642"/>
      <c r="R232" s="642"/>
      <c r="S232" s="642"/>
      <c r="T232" s="642"/>
      <c r="U232" s="642"/>
    </row>
    <row r="233" spans="1:21" x14ac:dyDescent="0.2">
      <c r="A233" s="642"/>
      <c r="B233" s="642"/>
      <c r="C233" s="642"/>
      <c r="D233" s="642"/>
      <c r="E233" s="642"/>
      <c r="F233" s="642"/>
      <c r="G233" s="642"/>
      <c r="H233" s="642"/>
      <c r="I233" s="642"/>
      <c r="J233" s="642"/>
      <c r="K233" s="642"/>
      <c r="L233" s="642"/>
      <c r="M233" s="642"/>
      <c r="N233" s="642"/>
      <c r="O233" s="642"/>
      <c r="P233" s="642"/>
      <c r="Q233" s="642"/>
      <c r="R233" s="642"/>
      <c r="S233" s="642"/>
      <c r="T233" s="642"/>
      <c r="U233" s="642"/>
    </row>
    <row r="234" spans="1:21" x14ac:dyDescent="0.2">
      <c r="A234" s="642"/>
      <c r="B234" s="642"/>
      <c r="C234" s="642"/>
      <c r="D234" s="642"/>
      <c r="E234" s="642"/>
      <c r="F234" s="642"/>
      <c r="G234" s="642"/>
      <c r="H234" s="642"/>
      <c r="I234" s="642"/>
      <c r="J234" s="642"/>
      <c r="K234" s="642"/>
      <c r="L234" s="642"/>
      <c r="M234" s="642"/>
      <c r="N234" s="642"/>
      <c r="O234" s="642"/>
      <c r="P234" s="642"/>
      <c r="Q234" s="642"/>
      <c r="R234" s="642"/>
      <c r="S234" s="642"/>
      <c r="T234" s="642"/>
      <c r="U234" s="642"/>
    </row>
    <row r="235" spans="1:21" x14ac:dyDescent="0.2">
      <c r="A235" s="642"/>
      <c r="B235" s="642"/>
      <c r="C235" s="642"/>
      <c r="D235" s="642"/>
      <c r="E235" s="642"/>
      <c r="F235" s="642"/>
      <c r="G235" s="642"/>
      <c r="H235" s="642"/>
      <c r="I235" s="642"/>
      <c r="J235" s="642"/>
      <c r="K235" s="642"/>
      <c r="L235" s="642"/>
      <c r="M235" s="642"/>
      <c r="N235" s="642"/>
      <c r="O235" s="642"/>
      <c r="P235" s="642"/>
      <c r="Q235" s="642"/>
      <c r="R235" s="642"/>
      <c r="S235" s="642"/>
      <c r="T235" s="642"/>
      <c r="U235" s="642"/>
    </row>
    <row r="236" spans="1:21" x14ac:dyDescent="0.2">
      <c r="A236" s="642"/>
      <c r="B236" s="642"/>
      <c r="C236" s="642"/>
      <c r="D236" s="642"/>
      <c r="E236" s="642"/>
      <c r="F236" s="642"/>
      <c r="G236" s="642"/>
      <c r="H236" s="642"/>
      <c r="I236" s="642"/>
      <c r="J236" s="642"/>
      <c r="K236" s="642"/>
      <c r="L236" s="642"/>
      <c r="M236" s="642"/>
      <c r="N236" s="642"/>
      <c r="O236" s="642"/>
      <c r="P236" s="642"/>
      <c r="Q236" s="642"/>
      <c r="R236" s="642"/>
      <c r="S236" s="642"/>
      <c r="T236" s="642"/>
      <c r="U236" s="642"/>
    </row>
    <row r="237" spans="1:21" x14ac:dyDescent="0.2">
      <c r="A237" s="642"/>
      <c r="B237" s="642"/>
      <c r="C237" s="642"/>
      <c r="D237" s="642"/>
      <c r="E237" s="642"/>
      <c r="F237" s="642"/>
      <c r="G237" s="642"/>
      <c r="H237" s="642"/>
      <c r="I237" s="642"/>
      <c r="J237" s="642"/>
      <c r="K237" s="642"/>
      <c r="L237" s="642"/>
      <c r="M237" s="642"/>
      <c r="N237" s="642"/>
      <c r="O237" s="642"/>
      <c r="P237" s="642"/>
      <c r="Q237" s="642"/>
      <c r="R237" s="642"/>
      <c r="S237" s="642"/>
      <c r="T237" s="642"/>
      <c r="U237" s="642"/>
    </row>
    <row r="238" spans="1:21" x14ac:dyDescent="0.2">
      <c r="A238" s="642"/>
      <c r="B238" s="642"/>
      <c r="C238" s="642"/>
      <c r="D238" s="642"/>
      <c r="E238" s="642"/>
      <c r="F238" s="642"/>
      <c r="G238" s="642"/>
      <c r="H238" s="642"/>
      <c r="I238" s="642"/>
      <c r="J238" s="642"/>
      <c r="K238" s="642"/>
      <c r="L238" s="642"/>
      <c r="M238" s="642"/>
      <c r="N238" s="642"/>
      <c r="O238" s="642"/>
      <c r="P238" s="642"/>
      <c r="Q238" s="642"/>
      <c r="R238" s="642"/>
      <c r="S238" s="642"/>
      <c r="T238" s="642"/>
      <c r="U238" s="642"/>
    </row>
    <row r="239" spans="1:21" x14ac:dyDescent="0.2">
      <c r="A239" s="642"/>
      <c r="B239" s="642"/>
      <c r="C239" s="642"/>
      <c r="D239" s="642"/>
      <c r="E239" s="642"/>
      <c r="F239" s="642"/>
      <c r="G239" s="642"/>
      <c r="H239" s="642"/>
      <c r="I239" s="642"/>
      <c r="J239" s="642"/>
      <c r="K239" s="642"/>
      <c r="L239" s="642"/>
      <c r="M239" s="642"/>
      <c r="N239" s="642"/>
      <c r="O239" s="642"/>
      <c r="P239" s="642"/>
      <c r="Q239" s="642"/>
      <c r="R239" s="642"/>
      <c r="S239" s="642"/>
      <c r="T239" s="642"/>
      <c r="U239" s="642"/>
    </row>
    <row r="240" spans="1:21" x14ac:dyDescent="0.2">
      <c r="A240" s="642"/>
      <c r="B240" s="642"/>
      <c r="C240" s="642"/>
      <c r="D240" s="642"/>
      <c r="E240" s="642"/>
      <c r="F240" s="642"/>
      <c r="G240" s="642"/>
      <c r="H240" s="642"/>
      <c r="I240" s="642"/>
      <c r="J240" s="642"/>
      <c r="K240" s="642"/>
      <c r="L240" s="642"/>
      <c r="M240" s="642"/>
      <c r="N240" s="642"/>
      <c r="O240" s="642"/>
      <c r="P240" s="642"/>
      <c r="Q240" s="642"/>
      <c r="R240" s="642"/>
      <c r="S240" s="642"/>
      <c r="T240" s="642"/>
      <c r="U240" s="642"/>
    </row>
    <row r="241" spans="1:21" x14ac:dyDescent="0.2">
      <c r="A241" s="642"/>
      <c r="B241" s="642"/>
      <c r="C241" s="642"/>
      <c r="D241" s="642"/>
      <c r="E241" s="642"/>
      <c r="F241" s="642"/>
      <c r="G241" s="642"/>
      <c r="H241" s="642"/>
      <c r="I241" s="642"/>
      <c r="J241" s="642"/>
      <c r="K241" s="642"/>
      <c r="L241" s="642"/>
      <c r="M241" s="642"/>
      <c r="N241" s="642"/>
      <c r="O241" s="642"/>
      <c r="P241" s="642"/>
      <c r="Q241" s="642"/>
      <c r="R241" s="642"/>
      <c r="S241" s="642"/>
      <c r="T241" s="642"/>
      <c r="U241" s="642"/>
    </row>
    <row r="242" spans="1:21" x14ac:dyDescent="0.2">
      <c r="A242" s="642"/>
      <c r="B242" s="642"/>
      <c r="C242" s="642"/>
      <c r="D242" s="642"/>
      <c r="E242" s="642"/>
      <c r="F242" s="642"/>
      <c r="G242" s="642"/>
      <c r="H242" s="642"/>
      <c r="I242" s="642"/>
      <c r="J242" s="642"/>
      <c r="K242" s="642"/>
      <c r="L242" s="642"/>
      <c r="M242" s="642"/>
      <c r="N242" s="642"/>
      <c r="O242" s="642"/>
      <c r="P242" s="642"/>
      <c r="Q242" s="642"/>
      <c r="R242" s="642"/>
      <c r="S242" s="642"/>
      <c r="T242" s="642"/>
      <c r="U242" s="642"/>
    </row>
    <row r="243" spans="1:21" x14ac:dyDescent="0.2">
      <c r="A243" s="642"/>
      <c r="B243" s="642"/>
      <c r="C243" s="642"/>
      <c r="D243" s="642"/>
      <c r="E243" s="642"/>
      <c r="F243" s="642"/>
      <c r="G243" s="642"/>
      <c r="H243" s="642"/>
      <c r="I243" s="642"/>
      <c r="J243" s="642"/>
      <c r="K243" s="642"/>
      <c r="L243" s="642"/>
      <c r="M243" s="642"/>
      <c r="N243" s="642"/>
      <c r="O243" s="642"/>
      <c r="P243" s="642"/>
      <c r="Q243" s="642"/>
      <c r="R243" s="642"/>
      <c r="S243" s="642"/>
      <c r="T243" s="642"/>
      <c r="U243" s="642"/>
    </row>
    <row r="244" spans="1:21" x14ac:dyDescent="0.2">
      <c r="A244" s="642"/>
      <c r="B244" s="642"/>
      <c r="C244" s="642"/>
      <c r="D244" s="642"/>
      <c r="E244" s="642"/>
      <c r="F244" s="642"/>
      <c r="G244" s="642"/>
      <c r="H244" s="642"/>
      <c r="I244" s="642"/>
      <c r="J244" s="642"/>
      <c r="K244" s="642"/>
      <c r="L244" s="642"/>
      <c r="M244" s="642"/>
      <c r="N244" s="642"/>
      <c r="O244" s="642"/>
      <c r="P244" s="642"/>
      <c r="Q244" s="642"/>
      <c r="R244" s="642"/>
      <c r="S244" s="642"/>
      <c r="T244" s="642"/>
      <c r="U244" s="642"/>
    </row>
    <row r="245" spans="1:21" x14ac:dyDescent="0.2">
      <c r="A245" s="642"/>
      <c r="B245" s="642"/>
      <c r="C245" s="642"/>
      <c r="D245" s="642"/>
      <c r="E245" s="642"/>
      <c r="F245" s="642"/>
      <c r="G245" s="642"/>
      <c r="H245" s="642"/>
      <c r="I245" s="642"/>
      <c r="J245" s="642"/>
      <c r="K245" s="642"/>
      <c r="L245" s="642"/>
      <c r="M245" s="642"/>
      <c r="N245" s="642"/>
      <c r="O245" s="642"/>
      <c r="P245" s="642"/>
      <c r="Q245" s="642"/>
      <c r="R245" s="642"/>
      <c r="S245" s="642"/>
      <c r="T245" s="642"/>
      <c r="U245" s="642"/>
    </row>
    <row r="246" spans="1:21" x14ac:dyDescent="0.2">
      <c r="A246" s="642"/>
      <c r="B246" s="642"/>
      <c r="C246" s="642"/>
      <c r="D246" s="642"/>
      <c r="E246" s="642"/>
      <c r="F246" s="642"/>
      <c r="G246" s="642"/>
      <c r="H246" s="642"/>
      <c r="I246" s="642"/>
      <c r="J246" s="642"/>
      <c r="K246" s="642"/>
      <c r="L246" s="642"/>
      <c r="M246" s="642"/>
      <c r="N246" s="642"/>
      <c r="O246" s="642"/>
      <c r="P246" s="642"/>
      <c r="Q246" s="642"/>
      <c r="R246" s="642"/>
      <c r="S246" s="642"/>
      <c r="T246" s="642"/>
      <c r="U246" s="642"/>
    </row>
    <row r="247" spans="1:21" x14ac:dyDescent="0.2">
      <c r="A247" s="642"/>
      <c r="B247" s="642"/>
      <c r="C247" s="642"/>
      <c r="D247" s="642"/>
      <c r="E247" s="642"/>
      <c r="F247" s="642"/>
      <c r="G247" s="642"/>
      <c r="H247" s="642"/>
      <c r="I247" s="642"/>
      <c r="J247" s="642"/>
      <c r="K247" s="642"/>
      <c r="L247" s="642"/>
      <c r="M247" s="642"/>
      <c r="N247" s="642"/>
      <c r="O247" s="642"/>
      <c r="P247" s="642"/>
      <c r="Q247" s="642"/>
      <c r="R247" s="642"/>
      <c r="S247" s="642"/>
      <c r="T247" s="642"/>
      <c r="U247" s="642"/>
    </row>
    <row r="248" spans="1:21" x14ac:dyDescent="0.2">
      <c r="A248" s="642"/>
      <c r="B248" s="642"/>
      <c r="C248" s="642"/>
      <c r="D248" s="642"/>
      <c r="E248" s="642"/>
      <c r="F248" s="642"/>
      <c r="G248" s="642"/>
      <c r="H248" s="642"/>
      <c r="I248" s="642"/>
      <c r="J248" s="642"/>
      <c r="K248" s="642"/>
      <c r="L248" s="642"/>
      <c r="M248" s="642"/>
      <c r="N248" s="642"/>
      <c r="O248" s="642"/>
      <c r="P248" s="642"/>
      <c r="Q248" s="642"/>
      <c r="R248" s="642"/>
      <c r="S248" s="642"/>
      <c r="T248" s="642"/>
      <c r="U248" s="642"/>
    </row>
    <row r="249" spans="1:21" x14ac:dyDescent="0.2">
      <c r="A249" s="642"/>
      <c r="B249" s="642"/>
      <c r="C249" s="642"/>
      <c r="D249" s="642"/>
      <c r="E249" s="642"/>
      <c r="F249" s="642"/>
      <c r="G249" s="642"/>
      <c r="H249" s="642"/>
      <c r="I249" s="642"/>
      <c r="J249" s="642"/>
      <c r="K249" s="642"/>
      <c r="L249" s="642"/>
      <c r="M249" s="642"/>
      <c r="N249" s="642"/>
      <c r="O249" s="642"/>
      <c r="P249" s="642"/>
      <c r="Q249" s="642"/>
      <c r="R249" s="642"/>
      <c r="S249" s="642"/>
      <c r="T249" s="642"/>
      <c r="U249" s="642"/>
    </row>
    <row r="250" spans="1:21" x14ac:dyDescent="0.2">
      <c r="A250" s="642"/>
      <c r="B250" s="642"/>
      <c r="C250" s="642"/>
      <c r="D250" s="642"/>
      <c r="E250" s="642"/>
      <c r="F250" s="642"/>
      <c r="G250" s="642"/>
      <c r="H250" s="642"/>
      <c r="I250" s="642"/>
      <c r="J250" s="642"/>
      <c r="K250" s="642"/>
      <c r="L250" s="642"/>
      <c r="M250" s="642"/>
      <c r="N250" s="642"/>
      <c r="O250" s="642"/>
      <c r="P250" s="642"/>
      <c r="Q250" s="642"/>
      <c r="R250" s="642"/>
      <c r="S250" s="642"/>
      <c r="T250" s="642"/>
      <c r="U250" s="642"/>
    </row>
    <row r="251" spans="1:21" x14ac:dyDescent="0.2">
      <c r="A251" s="642"/>
      <c r="B251" s="642"/>
      <c r="C251" s="642"/>
      <c r="D251" s="642"/>
      <c r="E251" s="642"/>
      <c r="F251" s="642"/>
      <c r="G251" s="642"/>
      <c r="H251" s="642"/>
      <c r="I251" s="642"/>
      <c r="J251" s="642"/>
      <c r="K251" s="642"/>
      <c r="L251" s="642"/>
      <c r="M251" s="642"/>
      <c r="N251" s="642"/>
      <c r="O251" s="642"/>
      <c r="P251" s="642"/>
      <c r="Q251" s="642"/>
      <c r="R251" s="642"/>
      <c r="S251" s="642"/>
      <c r="T251" s="642"/>
      <c r="U251" s="642"/>
    </row>
    <row r="252" spans="1:21" x14ac:dyDescent="0.2">
      <c r="A252" s="642"/>
      <c r="B252" s="642"/>
      <c r="C252" s="642"/>
      <c r="D252" s="642"/>
      <c r="E252" s="642"/>
      <c r="F252" s="642"/>
      <c r="G252" s="642"/>
      <c r="H252" s="642"/>
      <c r="I252" s="642"/>
      <c r="J252" s="642"/>
      <c r="K252" s="642"/>
      <c r="L252" s="642"/>
      <c r="M252" s="642"/>
      <c r="N252" s="642"/>
      <c r="O252" s="642"/>
      <c r="P252" s="642"/>
      <c r="Q252" s="642"/>
      <c r="R252" s="642"/>
      <c r="S252" s="642"/>
      <c r="T252" s="642"/>
      <c r="U252" s="642"/>
    </row>
    <row r="253" spans="1:21" x14ac:dyDescent="0.2">
      <c r="A253" s="642"/>
      <c r="B253" s="642"/>
      <c r="C253" s="642"/>
      <c r="D253" s="642"/>
      <c r="E253" s="642"/>
      <c r="F253" s="642"/>
      <c r="G253" s="642"/>
      <c r="H253" s="642"/>
      <c r="I253" s="642"/>
      <c r="J253" s="642"/>
      <c r="K253" s="642"/>
      <c r="L253" s="642"/>
      <c r="M253" s="642"/>
      <c r="N253" s="642"/>
      <c r="O253" s="642"/>
      <c r="P253" s="642"/>
      <c r="Q253" s="642"/>
      <c r="R253" s="642"/>
      <c r="S253" s="642"/>
      <c r="T253" s="642"/>
      <c r="U253" s="642"/>
    </row>
    <row r="254" spans="1:21" x14ac:dyDescent="0.2">
      <c r="A254" s="642"/>
      <c r="B254" s="642"/>
      <c r="C254" s="642"/>
      <c r="D254" s="642"/>
      <c r="E254" s="642"/>
      <c r="F254" s="642"/>
      <c r="G254" s="642"/>
      <c r="H254" s="642"/>
      <c r="I254" s="642"/>
      <c r="J254" s="642"/>
      <c r="K254" s="642"/>
      <c r="L254" s="642"/>
      <c r="M254" s="642"/>
      <c r="N254" s="642"/>
      <c r="O254" s="642"/>
      <c r="P254" s="642"/>
      <c r="Q254" s="642"/>
      <c r="R254" s="642"/>
      <c r="S254" s="642"/>
      <c r="T254" s="642"/>
      <c r="U254" s="642"/>
    </row>
    <row r="255" spans="1:21" x14ac:dyDescent="0.2">
      <c r="A255" s="642"/>
      <c r="B255" s="642"/>
      <c r="C255" s="642"/>
      <c r="D255" s="642"/>
      <c r="E255" s="642"/>
      <c r="F255" s="642"/>
      <c r="G255" s="642"/>
      <c r="H255" s="642"/>
      <c r="I255" s="642"/>
      <c r="J255" s="642"/>
      <c r="K255" s="642"/>
      <c r="L255" s="642"/>
      <c r="M255" s="642"/>
      <c r="N255" s="642"/>
      <c r="O255" s="642"/>
      <c r="P255" s="642"/>
      <c r="Q255" s="642"/>
      <c r="R255" s="642"/>
      <c r="S255" s="642"/>
      <c r="T255" s="642"/>
      <c r="U255" s="642"/>
    </row>
    <row r="256" spans="1:21" x14ac:dyDescent="0.2">
      <c r="A256" s="642"/>
      <c r="B256" s="642"/>
      <c r="C256" s="642"/>
      <c r="D256" s="642"/>
      <c r="E256" s="642"/>
      <c r="F256" s="642"/>
      <c r="G256" s="642"/>
      <c r="H256" s="642"/>
      <c r="I256" s="642"/>
      <c r="J256" s="642"/>
      <c r="K256" s="642"/>
      <c r="L256" s="642"/>
      <c r="M256" s="642"/>
      <c r="N256" s="642"/>
      <c r="O256" s="642"/>
      <c r="P256" s="642"/>
      <c r="Q256" s="642"/>
      <c r="R256" s="642"/>
      <c r="S256" s="642"/>
      <c r="T256" s="642"/>
      <c r="U256" s="642"/>
    </row>
    <row r="257" spans="1:21" x14ac:dyDescent="0.2">
      <c r="A257" s="642"/>
      <c r="B257" s="642"/>
      <c r="C257" s="642"/>
      <c r="D257" s="642"/>
      <c r="E257" s="642"/>
      <c r="F257" s="642"/>
      <c r="G257" s="642"/>
      <c r="H257" s="642"/>
      <c r="I257" s="642"/>
      <c r="J257" s="642"/>
      <c r="K257" s="642"/>
      <c r="L257" s="642"/>
      <c r="M257" s="642"/>
      <c r="N257" s="642"/>
      <c r="O257" s="642"/>
      <c r="P257" s="642"/>
      <c r="Q257" s="642"/>
      <c r="R257" s="642"/>
      <c r="S257" s="642"/>
      <c r="T257" s="642"/>
      <c r="U257" s="642"/>
    </row>
    <row r="258" spans="1:21" x14ac:dyDescent="0.2">
      <c r="A258" s="642"/>
      <c r="B258" s="642"/>
      <c r="C258" s="642"/>
      <c r="D258" s="642"/>
      <c r="E258" s="642"/>
      <c r="F258" s="642"/>
      <c r="G258" s="642"/>
      <c r="H258" s="642"/>
      <c r="I258" s="642"/>
      <c r="J258" s="642"/>
      <c r="K258" s="642"/>
      <c r="L258" s="642"/>
      <c r="M258" s="642"/>
      <c r="N258" s="642"/>
      <c r="O258" s="642"/>
      <c r="P258" s="642"/>
      <c r="Q258" s="642"/>
      <c r="R258" s="642"/>
      <c r="S258" s="642"/>
      <c r="T258" s="642"/>
      <c r="U258" s="642"/>
    </row>
    <row r="259" spans="1:21" x14ac:dyDescent="0.2">
      <c r="A259" s="642"/>
      <c r="B259" s="642"/>
      <c r="C259" s="642"/>
      <c r="D259" s="642"/>
      <c r="E259" s="642"/>
      <c r="F259" s="642"/>
      <c r="G259" s="642"/>
      <c r="H259" s="642"/>
      <c r="I259" s="642"/>
      <c r="J259" s="642"/>
      <c r="K259" s="642"/>
      <c r="L259" s="642"/>
      <c r="M259" s="642"/>
      <c r="N259" s="642"/>
      <c r="O259" s="642"/>
      <c r="P259" s="642"/>
      <c r="Q259" s="642"/>
      <c r="R259" s="642"/>
      <c r="S259" s="642"/>
      <c r="T259" s="642"/>
      <c r="U259" s="642"/>
    </row>
    <row r="260" spans="1:21" x14ac:dyDescent="0.2">
      <c r="A260" s="642"/>
      <c r="B260" s="642"/>
      <c r="C260" s="642"/>
      <c r="D260" s="642"/>
      <c r="E260" s="642"/>
      <c r="F260" s="642"/>
      <c r="G260" s="642"/>
      <c r="H260" s="642"/>
      <c r="I260" s="642"/>
      <c r="J260" s="642"/>
      <c r="K260" s="642"/>
      <c r="L260" s="642"/>
      <c r="M260" s="642"/>
      <c r="N260" s="642"/>
      <c r="O260" s="642"/>
      <c r="P260" s="642"/>
      <c r="Q260" s="642"/>
      <c r="R260" s="642"/>
      <c r="S260" s="642"/>
      <c r="T260" s="642"/>
      <c r="U260" s="642"/>
    </row>
    <row r="261" spans="1:21" x14ac:dyDescent="0.2">
      <c r="A261" s="642"/>
      <c r="B261" s="642"/>
      <c r="C261" s="642"/>
      <c r="D261" s="642"/>
      <c r="E261" s="642"/>
      <c r="F261" s="642"/>
      <c r="G261" s="642"/>
      <c r="H261" s="642"/>
      <c r="I261" s="642"/>
      <c r="J261" s="642"/>
      <c r="K261" s="642"/>
      <c r="L261" s="642"/>
      <c r="M261" s="642"/>
      <c r="N261" s="642"/>
      <c r="O261" s="642"/>
      <c r="P261" s="642"/>
      <c r="Q261" s="642"/>
      <c r="R261" s="642"/>
      <c r="S261" s="642"/>
      <c r="T261" s="642"/>
      <c r="U261" s="642"/>
    </row>
    <row r="262" spans="1:21" x14ac:dyDescent="0.2">
      <c r="A262" s="642"/>
      <c r="B262" s="642"/>
      <c r="C262" s="642"/>
      <c r="D262" s="642"/>
      <c r="E262" s="642"/>
      <c r="F262" s="642"/>
      <c r="G262" s="642"/>
      <c r="H262" s="642"/>
      <c r="I262" s="642"/>
      <c r="J262" s="642"/>
      <c r="K262" s="642"/>
      <c r="L262" s="642"/>
      <c r="M262" s="642"/>
      <c r="N262" s="642"/>
      <c r="O262" s="642"/>
      <c r="P262" s="642"/>
      <c r="Q262" s="642"/>
      <c r="R262" s="642"/>
      <c r="S262" s="642"/>
      <c r="T262" s="642"/>
      <c r="U262" s="642"/>
    </row>
    <row r="263" spans="1:21" x14ac:dyDescent="0.2">
      <c r="A263" s="642"/>
      <c r="B263" s="642"/>
      <c r="C263" s="642"/>
      <c r="D263" s="642"/>
      <c r="E263" s="642"/>
      <c r="F263" s="642"/>
      <c r="G263" s="642"/>
      <c r="H263" s="642"/>
      <c r="I263" s="642"/>
      <c r="J263" s="642"/>
      <c r="K263" s="642"/>
      <c r="L263" s="642"/>
      <c r="M263" s="642"/>
      <c r="N263" s="642"/>
      <c r="O263" s="642"/>
      <c r="P263" s="642"/>
      <c r="Q263" s="642"/>
      <c r="R263" s="642"/>
      <c r="S263" s="642"/>
      <c r="T263" s="642"/>
      <c r="U263" s="642"/>
    </row>
    <row r="264" spans="1:21" x14ac:dyDescent="0.2">
      <c r="A264" s="642"/>
      <c r="B264" s="642"/>
      <c r="C264" s="642"/>
      <c r="D264" s="642"/>
      <c r="E264" s="642"/>
      <c r="F264" s="642"/>
      <c r="G264" s="642"/>
      <c r="H264" s="642"/>
      <c r="I264" s="642"/>
      <c r="J264" s="642"/>
      <c r="K264" s="642"/>
      <c r="L264" s="642"/>
      <c r="M264" s="642"/>
      <c r="N264" s="642"/>
      <c r="O264" s="642"/>
      <c r="P264" s="642"/>
      <c r="Q264" s="642"/>
      <c r="R264" s="642"/>
      <c r="S264" s="642"/>
      <c r="T264" s="642"/>
      <c r="U264" s="642"/>
    </row>
    <row r="265" spans="1:21" x14ac:dyDescent="0.2">
      <c r="A265" s="642"/>
      <c r="B265" s="642"/>
      <c r="C265" s="642"/>
      <c r="D265" s="642"/>
      <c r="E265" s="642"/>
      <c r="F265" s="642"/>
      <c r="G265" s="642"/>
      <c r="H265" s="642"/>
      <c r="I265" s="642"/>
      <c r="J265" s="642"/>
      <c r="K265" s="642"/>
      <c r="L265" s="642"/>
      <c r="M265" s="642"/>
      <c r="N265" s="642"/>
      <c r="O265" s="642"/>
      <c r="P265" s="642"/>
      <c r="Q265" s="642"/>
      <c r="R265" s="642"/>
      <c r="S265" s="642"/>
      <c r="T265" s="642"/>
      <c r="U265" s="642"/>
    </row>
    <row r="266" spans="1:21" x14ac:dyDescent="0.2">
      <c r="A266" s="642"/>
      <c r="B266" s="642"/>
      <c r="C266" s="642"/>
      <c r="D266" s="642"/>
      <c r="E266" s="642"/>
      <c r="F266" s="642"/>
      <c r="G266" s="642"/>
      <c r="H266" s="642"/>
      <c r="I266" s="642"/>
      <c r="J266" s="642"/>
      <c r="K266" s="642"/>
      <c r="L266" s="642"/>
      <c r="M266" s="642"/>
      <c r="N266" s="642"/>
      <c r="O266" s="642"/>
      <c r="P266" s="642"/>
      <c r="Q266" s="642"/>
      <c r="R266" s="642"/>
      <c r="S266" s="642"/>
      <c r="T266" s="642"/>
      <c r="U266" s="642"/>
    </row>
    <row r="267" spans="1:21" x14ac:dyDescent="0.2">
      <c r="A267" s="642"/>
      <c r="B267" s="642"/>
      <c r="C267" s="642"/>
      <c r="D267" s="642"/>
      <c r="E267" s="642"/>
      <c r="F267" s="642"/>
      <c r="G267" s="642"/>
      <c r="H267" s="642"/>
      <c r="I267" s="642"/>
      <c r="J267" s="642"/>
      <c r="K267" s="642"/>
      <c r="L267" s="642"/>
      <c r="M267" s="642"/>
      <c r="N267" s="642"/>
      <c r="O267" s="642"/>
      <c r="P267" s="642"/>
      <c r="Q267" s="642"/>
      <c r="R267" s="642"/>
      <c r="S267" s="642"/>
      <c r="T267" s="642"/>
      <c r="U267" s="642"/>
    </row>
    <row r="268" spans="1:21" x14ac:dyDescent="0.2">
      <c r="A268" s="642"/>
      <c r="B268" s="642"/>
      <c r="C268" s="642"/>
      <c r="D268" s="642"/>
      <c r="E268" s="642"/>
      <c r="F268" s="642"/>
      <c r="G268" s="642"/>
      <c r="H268" s="642"/>
      <c r="I268" s="642"/>
      <c r="J268" s="642"/>
      <c r="K268" s="642"/>
      <c r="L268" s="642"/>
      <c r="M268" s="642"/>
      <c r="N268" s="642"/>
      <c r="O268" s="642"/>
      <c r="P268" s="642"/>
      <c r="Q268" s="642"/>
      <c r="R268" s="642"/>
      <c r="S268" s="642"/>
      <c r="T268" s="642"/>
      <c r="U268" s="642"/>
    </row>
    <row r="269" spans="1:21" x14ac:dyDescent="0.2">
      <c r="A269" s="642"/>
      <c r="B269" s="642"/>
      <c r="C269" s="642"/>
      <c r="D269" s="642"/>
      <c r="E269" s="642"/>
      <c r="F269" s="642"/>
      <c r="G269" s="642"/>
      <c r="H269" s="642"/>
      <c r="I269" s="642"/>
      <c r="J269" s="642"/>
      <c r="K269" s="642"/>
      <c r="L269" s="642"/>
      <c r="M269" s="642"/>
      <c r="N269" s="642"/>
      <c r="O269" s="642"/>
      <c r="P269" s="642"/>
      <c r="Q269" s="642"/>
      <c r="R269" s="642"/>
      <c r="S269" s="642"/>
      <c r="T269" s="642"/>
      <c r="U269" s="642"/>
    </row>
    <row r="270" spans="1:21" x14ac:dyDescent="0.2">
      <c r="A270" s="642"/>
      <c r="B270" s="642"/>
      <c r="C270" s="642"/>
      <c r="D270" s="642"/>
      <c r="E270" s="642"/>
      <c r="F270" s="642"/>
      <c r="G270" s="642"/>
      <c r="H270" s="642"/>
      <c r="I270" s="642"/>
      <c r="J270" s="642"/>
      <c r="K270" s="642"/>
      <c r="L270" s="642"/>
      <c r="M270" s="642"/>
      <c r="N270" s="642"/>
      <c r="O270" s="642"/>
      <c r="P270" s="642"/>
      <c r="Q270" s="642"/>
      <c r="R270" s="642"/>
      <c r="S270" s="642"/>
      <c r="T270" s="642"/>
      <c r="U270" s="642"/>
    </row>
    <row r="271" spans="1:21" x14ac:dyDescent="0.2">
      <c r="A271" s="642"/>
      <c r="B271" s="642"/>
      <c r="C271" s="642"/>
      <c r="D271" s="642"/>
      <c r="E271" s="642"/>
      <c r="F271" s="642"/>
      <c r="G271" s="642"/>
      <c r="H271" s="642"/>
      <c r="I271" s="642"/>
      <c r="J271" s="642"/>
      <c r="K271" s="642"/>
      <c r="L271" s="642"/>
      <c r="M271" s="642"/>
      <c r="N271" s="642"/>
      <c r="O271" s="642"/>
      <c r="P271" s="642"/>
      <c r="Q271" s="642"/>
      <c r="R271" s="642"/>
      <c r="S271" s="642"/>
      <c r="T271" s="642"/>
      <c r="U271" s="642"/>
    </row>
    <row r="272" spans="1:21" x14ac:dyDescent="0.2">
      <c r="A272" s="642"/>
      <c r="B272" s="642"/>
      <c r="C272" s="642"/>
      <c r="D272" s="642"/>
      <c r="E272" s="642"/>
      <c r="F272" s="642"/>
      <c r="G272" s="642"/>
      <c r="H272" s="642"/>
      <c r="I272" s="642"/>
      <c r="J272" s="642"/>
      <c r="K272" s="642"/>
      <c r="L272" s="642"/>
      <c r="M272" s="642"/>
      <c r="N272" s="642"/>
      <c r="O272" s="642"/>
      <c r="P272" s="642"/>
      <c r="Q272" s="642"/>
      <c r="R272" s="642"/>
      <c r="S272" s="642"/>
      <c r="T272" s="642"/>
      <c r="U272" s="642"/>
    </row>
    <row r="273" spans="1:21" x14ac:dyDescent="0.2">
      <c r="A273" s="642"/>
      <c r="B273" s="642"/>
      <c r="C273" s="642"/>
      <c r="D273" s="642"/>
      <c r="E273" s="642"/>
      <c r="F273" s="642"/>
      <c r="G273" s="642"/>
      <c r="H273" s="642"/>
      <c r="I273" s="642"/>
      <c r="J273" s="642"/>
      <c r="K273" s="642"/>
      <c r="L273" s="642"/>
      <c r="M273" s="642"/>
      <c r="N273" s="642"/>
      <c r="O273" s="642"/>
      <c r="P273" s="642"/>
      <c r="Q273" s="642"/>
      <c r="R273" s="642"/>
      <c r="S273" s="642"/>
      <c r="T273" s="642"/>
      <c r="U273" s="642"/>
    </row>
    <row r="274" spans="1:21" x14ac:dyDescent="0.2">
      <c r="A274" s="642"/>
      <c r="B274" s="642"/>
      <c r="C274" s="642"/>
      <c r="D274" s="642"/>
      <c r="E274" s="642"/>
      <c r="F274" s="642"/>
      <c r="G274" s="642"/>
      <c r="H274" s="642"/>
      <c r="I274" s="642"/>
      <c r="J274" s="642"/>
      <c r="K274" s="642"/>
      <c r="L274" s="642"/>
      <c r="M274" s="642"/>
      <c r="N274" s="642"/>
      <c r="O274" s="642"/>
      <c r="P274" s="642"/>
      <c r="Q274" s="642"/>
      <c r="R274" s="642"/>
      <c r="S274" s="642"/>
      <c r="T274" s="642"/>
      <c r="U274" s="642"/>
    </row>
    <row r="275" spans="1:21" x14ac:dyDescent="0.2">
      <c r="A275" s="642"/>
      <c r="B275" s="642"/>
      <c r="C275" s="642"/>
      <c r="D275" s="642"/>
      <c r="E275" s="642"/>
      <c r="F275" s="642"/>
      <c r="G275" s="642"/>
      <c r="H275" s="642"/>
      <c r="I275" s="642"/>
      <c r="J275" s="642"/>
      <c r="K275" s="642"/>
      <c r="L275" s="642"/>
      <c r="M275" s="642"/>
      <c r="N275" s="642"/>
      <c r="O275" s="642"/>
      <c r="P275" s="642"/>
      <c r="Q275" s="642"/>
      <c r="R275" s="642"/>
      <c r="S275" s="642"/>
      <c r="T275" s="642"/>
      <c r="U275" s="642"/>
    </row>
    <row r="276" spans="1:21" x14ac:dyDescent="0.2">
      <c r="A276" s="642"/>
      <c r="B276" s="642"/>
      <c r="C276" s="642"/>
      <c r="D276" s="642"/>
      <c r="E276" s="642"/>
      <c r="F276" s="642"/>
      <c r="G276" s="642"/>
      <c r="H276" s="642"/>
      <c r="I276" s="642"/>
      <c r="J276" s="642"/>
      <c r="K276" s="642"/>
      <c r="L276" s="642"/>
      <c r="M276" s="642"/>
      <c r="N276" s="642"/>
      <c r="O276" s="642"/>
      <c r="P276" s="642"/>
      <c r="Q276" s="642"/>
      <c r="R276" s="642"/>
      <c r="S276" s="642"/>
      <c r="T276" s="642"/>
      <c r="U276" s="642"/>
    </row>
    <row r="277" spans="1:21" x14ac:dyDescent="0.2">
      <c r="A277" s="642"/>
      <c r="B277" s="642"/>
      <c r="C277" s="642"/>
      <c r="D277" s="642"/>
      <c r="E277" s="642"/>
      <c r="F277" s="642"/>
      <c r="G277" s="642"/>
      <c r="H277" s="642"/>
      <c r="I277" s="642"/>
      <c r="J277" s="642"/>
      <c r="K277" s="642"/>
      <c r="L277" s="642"/>
      <c r="M277" s="642"/>
      <c r="N277" s="642"/>
      <c r="O277" s="642"/>
      <c r="P277" s="642"/>
      <c r="Q277" s="642"/>
      <c r="R277" s="642"/>
      <c r="S277" s="642"/>
      <c r="T277" s="642"/>
      <c r="U277" s="642"/>
    </row>
    <row r="278" spans="1:21" x14ac:dyDescent="0.2">
      <c r="A278" s="642"/>
      <c r="B278" s="642"/>
      <c r="C278" s="642"/>
      <c r="D278" s="642"/>
      <c r="E278" s="642"/>
      <c r="F278" s="642"/>
      <c r="G278" s="642"/>
      <c r="H278" s="642"/>
      <c r="I278" s="642"/>
      <c r="J278" s="642"/>
      <c r="K278" s="642"/>
      <c r="L278" s="642"/>
      <c r="M278" s="642"/>
      <c r="N278" s="642"/>
      <c r="O278" s="642"/>
      <c r="P278" s="642"/>
      <c r="Q278" s="642"/>
      <c r="R278" s="642"/>
      <c r="S278" s="642"/>
      <c r="T278" s="642"/>
      <c r="U278" s="642"/>
    </row>
    <row r="279" spans="1:21" x14ac:dyDescent="0.2">
      <c r="A279" s="642"/>
      <c r="B279" s="642"/>
      <c r="C279" s="642"/>
      <c r="D279" s="642"/>
      <c r="E279" s="642"/>
      <c r="F279" s="642"/>
      <c r="G279" s="642"/>
      <c r="H279" s="642"/>
      <c r="I279" s="642"/>
      <c r="J279" s="642"/>
      <c r="K279" s="642"/>
      <c r="L279" s="642"/>
      <c r="M279" s="642"/>
      <c r="N279" s="642"/>
      <c r="O279" s="642"/>
      <c r="P279" s="642"/>
      <c r="Q279" s="642"/>
      <c r="R279" s="642"/>
      <c r="S279" s="642"/>
      <c r="T279" s="642"/>
      <c r="U279" s="642"/>
    </row>
    <row r="280" spans="1:21" x14ac:dyDescent="0.2">
      <c r="A280" s="642"/>
      <c r="B280" s="642"/>
      <c r="C280" s="642"/>
      <c r="D280" s="642"/>
      <c r="E280" s="642"/>
      <c r="F280" s="642"/>
      <c r="G280" s="642"/>
      <c r="H280" s="642"/>
      <c r="I280" s="642"/>
      <c r="J280" s="642"/>
      <c r="K280" s="642"/>
      <c r="L280" s="642"/>
      <c r="M280" s="642"/>
      <c r="N280" s="642"/>
      <c r="O280" s="642"/>
      <c r="P280" s="642"/>
      <c r="Q280" s="642"/>
      <c r="R280" s="642"/>
      <c r="S280" s="642"/>
      <c r="T280" s="642"/>
      <c r="U280" s="642"/>
    </row>
    <row r="281" spans="1:21" x14ac:dyDescent="0.2">
      <c r="A281" s="642"/>
      <c r="B281" s="642"/>
      <c r="C281" s="642"/>
      <c r="D281" s="642"/>
      <c r="E281" s="642"/>
      <c r="F281" s="642"/>
      <c r="G281" s="642"/>
      <c r="H281" s="642"/>
      <c r="I281" s="642"/>
      <c r="J281" s="642"/>
      <c r="K281" s="642"/>
      <c r="L281" s="642"/>
      <c r="M281" s="642"/>
      <c r="N281" s="642"/>
      <c r="O281" s="642"/>
      <c r="P281" s="642"/>
      <c r="Q281" s="642"/>
      <c r="R281" s="642"/>
      <c r="S281" s="642"/>
      <c r="T281" s="642"/>
      <c r="U281" s="642"/>
    </row>
    <row r="282" spans="1:21" x14ac:dyDescent="0.2">
      <c r="A282" s="642"/>
      <c r="B282" s="642"/>
      <c r="C282" s="642"/>
      <c r="D282" s="642"/>
      <c r="E282" s="642"/>
      <c r="F282" s="642"/>
      <c r="G282" s="642"/>
      <c r="H282" s="642"/>
      <c r="I282" s="642"/>
      <c r="J282" s="642"/>
      <c r="K282" s="642"/>
      <c r="L282" s="642"/>
      <c r="M282" s="642"/>
      <c r="N282" s="642"/>
      <c r="O282" s="642"/>
      <c r="P282" s="642"/>
      <c r="Q282" s="642"/>
      <c r="R282" s="642"/>
      <c r="S282" s="642"/>
      <c r="T282" s="642"/>
      <c r="U282" s="642"/>
    </row>
    <row r="283" spans="1:21" x14ac:dyDescent="0.2">
      <c r="A283" s="642"/>
      <c r="B283" s="642"/>
      <c r="C283" s="642"/>
      <c r="D283" s="642"/>
      <c r="E283" s="642"/>
      <c r="F283" s="642"/>
      <c r="G283" s="642"/>
      <c r="H283" s="642"/>
      <c r="I283" s="642"/>
      <c r="J283" s="642"/>
      <c r="K283" s="642"/>
      <c r="L283" s="642"/>
      <c r="M283" s="642"/>
      <c r="N283" s="642"/>
      <c r="O283" s="642"/>
      <c r="P283" s="642"/>
      <c r="Q283" s="642"/>
      <c r="R283" s="642"/>
      <c r="S283" s="642"/>
      <c r="T283" s="642"/>
      <c r="U283" s="642"/>
    </row>
    <row r="284" spans="1:21" x14ac:dyDescent="0.2">
      <c r="A284" s="642"/>
      <c r="B284" s="642"/>
      <c r="C284" s="642"/>
      <c r="D284" s="642"/>
      <c r="E284" s="642"/>
      <c r="F284" s="642"/>
      <c r="G284" s="642"/>
      <c r="H284" s="642"/>
      <c r="I284" s="642"/>
      <c r="J284" s="642"/>
      <c r="K284" s="642"/>
      <c r="L284" s="642"/>
      <c r="M284" s="642"/>
      <c r="N284" s="642"/>
      <c r="O284" s="642"/>
      <c r="P284" s="642"/>
      <c r="Q284" s="642"/>
      <c r="R284" s="642"/>
      <c r="S284" s="642"/>
      <c r="T284" s="642"/>
      <c r="U284" s="642"/>
    </row>
    <row r="285" spans="1:21" x14ac:dyDescent="0.2">
      <c r="A285" s="642"/>
      <c r="B285" s="642"/>
      <c r="C285" s="642"/>
      <c r="D285" s="642"/>
      <c r="E285" s="642"/>
      <c r="F285" s="642"/>
      <c r="G285" s="642"/>
      <c r="H285" s="642"/>
      <c r="I285" s="642"/>
      <c r="J285" s="642"/>
      <c r="K285" s="642"/>
      <c r="L285" s="642"/>
      <c r="M285" s="642"/>
      <c r="N285" s="642"/>
      <c r="O285" s="642"/>
      <c r="P285" s="642"/>
      <c r="Q285" s="642"/>
      <c r="R285" s="642"/>
      <c r="S285" s="642"/>
      <c r="T285" s="642"/>
      <c r="U285" s="642"/>
    </row>
    <row r="286" spans="1:21" x14ac:dyDescent="0.2">
      <c r="A286" s="642"/>
      <c r="B286" s="642"/>
      <c r="C286" s="642"/>
      <c r="D286" s="642"/>
      <c r="E286" s="642"/>
      <c r="F286" s="642"/>
      <c r="G286" s="642"/>
      <c r="H286" s="642"/>
      <c r="I286" s="642"/>
      <c r="J286" s="642"/>
      <c r="K286" s="642"/>
      <c r="L286" s="642"/>
      <c r="M286" s="642"/>
      <c r="N286" s="642"/>
      <c r="O286" s="642"/>
      <c r="P286" s="642"/>
      <c r="Q286" s="642"/>
      <c r="R286" s="642"/>
      <c r="S286" s="642"/>
      <c r="T286" s="642"/>
      <c r="U286" s="642"/>
    </row>
    <row r="287" spans="1:21" x14ac:dyDescent="0.2">
      <c r="A287" s="642"/>
      <c r="B287" s="642"/>
      <c r="C287" s="642"/>
      <c r="D287" s="642"/>
      <c r="E287" s="642"/>
      <c r="F287" s="642"/>
      <c r="G287" s="642"/>
      <c r="H287" s="642"/>
      <c r="I287" s="642"/>
      <c r="J287" s="642"/>
      <c r="K287" s="642"/>
      <c r="L287" s="642"/>
      <c r="M287" s="642"/>
      <c r="N287" s="642"/>
      <c r="O287" s="642"/>
      <c r="P287" s="642"/>
      <c r="Q287" s="642"/>
      <c r="R287" s="642"/>
      <c r="S287" s="642"/>
      <c r="T287" s="642"/>
      <c r="U287" s="642"/>
    </row>
    <row r="288" spans="1:21" x14ac:dyDescent="0.2">
      <c r="A288" s="642"/>
      <c r="B288" s="642"/>
      <c r="C288" s="642"/>
      <c r="D288" s="642"/>
      <c r="E288" s="642"/>
      <c r="F288" s="642"/>
      <c r="G288" s="642"/>
      <c r="H288" s="642"/>
      <c r="I288" s="642"/>
      <c r="J288" s="642"/>
      <c r="K288" s="642"/>
      <c r="L288" s="642"/>
      <c r="M288" s="642"/>
      <c r="N288" s="642"/>
      <c r="O288" s="642"/>
      <c r="P288" s="642"/>
      <c r="Q288" s="642"/>
      <c r="R288" s="642"/>
      <c r="S288" s="642"/>
      <c r="T288" s="642"/>
      <c r="U288" s="642"/>
    </row>
    <row r="289" spans="1:21" x14ac:dyDescent="0.2">
      <c r="A289" s="642"/>
      <c r="B289" s="642"/>
      <c r="C289" s="642"/>
      <c r="D289" s="642"/>
      <c r="E289" s="642"/>
      <c r="F289" s="642"/>
      <c r="G289" s="642"/>
      <c r="H289" s="642"/>
      <c r="I289" s="642"/>
      <c r="J289" s="642"/>
      <c r="K289" s="642"/>
      <c r="L289" s="642"/>
      <c r="M289" s="642"/>
      <c r="N289" s="642"/>
      <c r="O289" s="642"/>
      <c r="P289" s="642"/>
      <c r="Q289" s="642"/>
      <c r="R289" s="642"/>
      <c r="S289" s="642"/>
      <c r="T289" s="642"/>
      <c r="U289" s="642"/>
    </row>
    <row r="290" spans="1:21" x14ac:dyDescent="0.2">
      <c r="A290" s="642"/>
      <c r="B290" s="642"/>
      <c r="C290" s="642"/>
      <c r="D290" s="642"/>
      <c r="E290" s="642"/>
      <c r="F290" s="642"/>
      <c r="G290" s="642"/>
      <c r="H290" s="642"/>
      <c r="I290" s="642"/>
      <c r="J290" s="642"/>
      <c r="K290" s="642"/>
      <c r="L290" s="642"/>
      <c r="M290" s="642"/>
      <c r="N290" s="642"/>
      <c r="O290" s="642"/>
      <c r="P290" s="642"/>
      <c r="Q290" s="642"/>
      <c r="R290" s="642"/>
      <c r="S290" s="642"/>
      <c r="T290" s="642"/>
      <c r="U290" s="642"/>
    </row>
    <row r="291" spans="1:21" x14ac:dyDescent="0.2">
      <c r="A291" s="642"/>
      <c r="B291" s="642"/>
      <c r="C291" s="642"/>
      <c r="D291" s="642"/>
      <c r="E291" s="642"/>
      <c r="F291" s="642"/>
      <c r="G291" s="642"/>
      <c r="H291" s="642"/>
      <c r="I291" s="642"/>
      <c r="J291" s="642"/>
      <c r="K291" s="642"/>
      <c r="L291" s="642"/>
      <c r="M291" s="642"/>
      <c r="N291" s="642"/>
      <c r="O291" s="642"/>
      <c r="P291" s="642"/>
      <c r="Q291" s="642"/>
      <c r="R291" s="642"/>
      <c r="S291" s="642"/>
      <c r="T291" s="642"/>
      <c r="U291" s="642"/>
    </row>
    <row r="292" spans="1:21" x14ac:dyDescent="0.2">
      <c r="A292" s="642"/>
      <c r="B292" s="642"/>
      <c r="C292" s="642"/>
      <c r="D292" s="642"/>
      <c r="E292" s="642"/>
      <c r="F292" s="642"/>
      <c r="G292" s="642"/>
      <c r="H292" s="642"/>
      <c r="I292" s="642"/>
      <c r="J292" s="642"/>
      <c r="K292" s="642"/>
      <c r="L292" s="642"/>
      <c r="M292" s="642"/>
      <c r="N292" s="642"/>
      <c r="O292" s="642"/>
      <c r="P292" s="642"/>
      <c r="Q292" s="642"/>
      <c r="R292" s="642"/>
      <c r="S292" s="642"/>
      <c r="T292" s="642"/>
      <c r="U292" s="642"/>
    </row>
    <row r="293" spans="1:21" x14ac:dyDescent="0.2">
      <c r="A293" s="642"/>
      <c r="B293" s="642"/>
      <c r="C293" s="642"/>
      <c r="D293" s="642"/>
      <c r="E293" s="642"/>
      <c r="F293" s="642"/>
      <c r="G293" s="642"/>
      <c r="H293" s="642"/>
      <c r="I293" s="642"/>
      <c r="J293" s="642"/>
      <c r="K293" s="642"/>
      <c r="L293" s="642"/>
      <c r="M293" s="642"/>
      <c r="N293" s="642"/>
      <c r="O293" s="642"/>
      <c r="P293" s="642"/>
      <c r="Q293" s="642"/>
      <c r="R293" s="642"/>
      <c r="S293" s="642"/>
      <c r="T293" s="642"/>
      <c r="U293" s="642"/>
    </row>
    <row r="294" spans="1:21" x14ac:dyDescent="0.2">
      <c r="A294" s="642"/>
      <c r="B294" s="642"/>
      <c r="C294" s="642"/>
      <c r="D294" s="642"/>
      <c r="E294" s="642"/>
      <c r="F294" s="642"/>
      <c r="G294" s="642"/>
      <c r="H294" s="642"/>
      <c r="I294" s="642"/>
      <c r="J294" s="642"/>
      <c r="K294" s="642"/>
      <c r="L294" s="642"/>
      <c r="M294" s="642"/>
      <c r="N294" s="642"/>
      <c r="O294" s="642"/>
      <c r="P294" s="642"/>
      <c r="Q294" s="642"/>
      <c r="R294" s="642"/>
      <c r="S294" s="642"/>
      <c r="T294" s="642"/>
      <c r="U294" s="642"/>
    </row>
    <row r="295" spans="1:21" x14ac:dyDescent="0.2">
      <c r="A295" s="642"/>
      <c r="B295" s="642"/>
      <c r="C295" s="642"/>
      <c r="D295" s="642"/>
      <c r="E295" s="642"/>
      <c r="F295" s="642"/>
      <c r="G295" s="642"/>
      <c r="H295" s="642"/>
      <c r="I295" s="642"/>
      <c r="J295" s="642"/>
      <c r="K295" s="642"/>
      <c r="L295" s="642"/>
      <c r="M295" s="642"/>
      <c r="N295" s="642"/>
      <c r="O295" s="642"/>
      <c r="P295" s="642"/>
      <c r="Q295" s="642"/>
      <c r="R295" s="642"/>
      <c r="S295" s="642"/>
      <c r="T295" s="642"/>
      <c r="U295" s="642"/>
    </row>
    <row r="296" spans="1:21" x14ac:dyDescent="0.2">
      <c r="A296" s="642"/>
      <c r="B296" s="642"/>
      <c r="C296" s="642"/>
      <c r="D296" s="642"/>
      <c r="E296" s="642"/>
      <c r="F296" s="642"/>
      <c r="G296" s="642"/>
      <c r="H296" s="642"/>
      <c r="I296" s="642"/>
      <c r="J296" s="642"/>
      <c r="K296" s="642"/>
      <c r="L296" s="642"/>
      <c r="M296" s="642"/>
      <c r="N296" s="642"/>
      <c r="O296" s="642"/>
      <c r="P296" s="642"/>
      <c r="Q296" s="642"/>
      <c r="R296" s="642"/>
      <c r="S296" s="642"/>
      <c r="T296" s="642"/>
      <c r="U296" s="642"/>
    </row>
    <row r="297" spans="1:21" x14ac:dyDescent="0.2">
      <c r="A297" s="642"/>
      <c r="B297" s="642"/>
      <c r="C297" s="642"/>
      <c r="D297" s="642"/>
      <c r="E297" s="642"/>
      <c r="F297" s="642"/>
      <c r="G297" s="642"/>
      <c r="H297" s="642"/>
      <c r="I297" s="642"/>
      <c r="J297" s="642"/>
      <c r="K297" s="642"/>
      <c r="L297" s="642"/>
      <c r="M297" s="642"/>
      <c r="N297" s="642"/>
      <c r="O297" s="642"/>
      <c r="P297" s="642"/>
      <c r="Q297" s="642"/>
      <c r="R297" s="642"/>
      <c r="S297" s="642"/>
      <c r="T297" s="642"/>
      <c r="U297" s="642"/>
    </row>
    <row r="298" spans="1:21" x14ac:dyDescent="0.2">
      <c r="A298" s="642"/>
      <c r="B298" s="642"/>
      <c r="C298" s="642"/>
      <c r="D298" s="642"/>
      <c r="E298" s="642"/>
      <c r="F298" s="642"/>
      <c r="G298" s="642"/>
      <c r="H298" s="642"/>
      <c r="I298" s="642"/>
      <c r="J298" s="642"/>
      <c r="K298" s="642"/>
      <c r="L298" s="642"/>
      <c r="M298" s="642"/>
      <c r="N298" s="642"/>
      <c r="O298" s="642"/>
      <c r="P298" s="642"/>
      <c r="Q298" s="642"/>
      <c r="R298" s="642"/>
      <c r="S298" s="642"/>
      <c r="T298" s="642"/>
      <c r="U298" s="642"/>
    </row>
    <row r="299" spans="1:21" x14ac:dyDescent="0.2">
      <c r="A299" s="642"/>
      <c r="B299" s="642"/>
      <c r="C299" s="642"/>
      <c r="D299" s="642"/>
      <c r="E299" s="642"/>
      <c r="F299" s="642"/>
      <c r="G299" s="642"/>
      <c r="H299" s="642"/>
      <c r="I299" s="642"/>
      <c r="J299" s="642"/>
      <c r="K299" s="642"/>
      <c r="L299" s="642"/>
      <c r="M299" s="642"/>
      <c r="N299" s="642"/>
      <c r="O299" s="642"/>
      <c r="P299" s="642"/>
      <c r="Q299" s="642"/>
      <c r="R299" s="642"/>
      <c r="S299" s="642"/>
      <c r="T299" s="642"/>
      <c r="U299" s="642"/>
    </row>
    <row r="300" spans="1:21" x14ac:dyDescent="0.2">
      <c r="A300" s="642"/>
      <c r="B300" s="642"/>
      <c r="C300" s="642"/>
      <c r="D300" s="642"/>
      <c r="E300" s="642"/>
      <c r="F300" s="642"/>
      <c r="G300" s="642"/>
      <c r="H300" s="642"/>
      <c r="I300" s="642"/>
      <c r="J300" s="642"/>
      <c r="K300" s="642"/>
      <c r="L300" s="642"/>
      <c r="M300" s="642"/>
      <c r="N300" s="642"/>
      <c r="O300" s="642"/>
      <c r="P300" s="642"/>
      <c r="Q300" s="642"/>
      <c r="R300" s="642"/>
      <c r="S300" s="642"/>
      <c r="T300" s="642"/>
      <c r="U300" s="642"/>
    </row>
    <row r="301" spans="1:21" x14ac:dyDescent="0.2">
      <c r="A301" s="642"/>
      <c r="B301" s="642"/>
      <c r="C301" s="642"/>
      <c r="D301" s="642"/>
      <c r="E301" s="642"/>
      <c r="F301" s="642"/>
      <c r="G301" s="642"/>
      <c r="H301" s="642"/>
      <c r="I301" s="642"/>
      <c r="J301" s="642"/>
      <c r="K301" s="642"/>
      <c r="L301" s="642"/>
      <c r="M301" s="642"/>
      <c r="N301" s="642"/>
      <c r="O301" s="642"/>
      <c r="P301" s="642"/>
      <c r="Q301" s="642"/>
      <c r="R301" s="642"/>
      <c r="S301" s="642"/>
      <c r="T301" s="642"/>
      <c r="U301" s="642"/>
    </row>
    <row r="302" spans="1:21" x14ac:dyDescent="0.2">
      <c r="A302" s="642"/>
      <c r="B302" s="642"/>
      <c r="C302" s="642"/>
      <c r="D302" s="642"/>
      <c r="E302" s="642"/>
      <c r="F302" s="642"/>
      <c r="G302" s="642"/>
      <c r="H302" s="642"/>
      <c r="I302" s="642"/>
      <c r="J302" s="642"/>
      <c r="K302" s="642"/>
      <c r="L302" s="642"/>
      <c r="M302" s="642"/>
      <c r="N302" s="642"/>
      <c r="O302" s="642"/>
      <c r="P302" s="642"/>
      <c r="Q302" s="642"/>
      <c r="R302" s="642"/>
      <c r="S302" s="642"/>
      <c r="T302" s="642"/>
      <c r="U302" s="642"/>
    </row>
    <row r="303" spans="1:21" x14ac:dyDescent="0.2">
      <c r="A303" s="642"/>
      <c r="B303" s="642"/>
      <c r="C303" s="642"/>
      <c r="D303" s="642"/>
      <c r="E303" s="642"/>
      <c r="F303" s="642"/>
      <c r="G303" s="642"/>
      <c r="H303" s="642"/>
      <c r="I303" s="642"/>
      <c r="J303" s="642"/>
      <c r="K303" s="642"/>
      <c r="L303" s="642"/>
      <c r="M303" s="642"/>
      <c r="N303" s="642"/>
      <c r="O303" s="642"/>
      <c r="P303" s="642"/>
      <c r="Q303" s="642"/>
      <c r="R303" s="642"/>
      <c r="S303" s="642"/>
      <c r="T303" s="642"/>
      <c r="U303" s="642"/>
    </row>
    <row r="304" spans="1:21" x14ac:dyDescent="0.2">
      <c r="A304" s="642"/>
      <c r="B304" s="642"/>
      <c r="C304" s="642"/>
      <c r="D304" s="642"/>
      <c r="E304" s="642"/>
      <c r="F304" s="642"/>
      <c r="G304" s="642"/>
      <c r="H304" s="642"/>
      <c r="I304" s="642"/>
      <c r="J304" s="642"/>
      <c r="K304" s="642"/>
      <c r="L304" s="642"/>
      <c r="M304" s="642"/>
      <c r="N304" s="642"/>
      <c r="O304" s="642"/>
      <c r="P304" s="642"/>
      <c r="Q304" s="642"/>
      <c r="R304" s="642"/>
      <c r="S304" s="642"/>
      <c r="T304" s="642"/>
      <c r="U304" s="642"/>
    </row>
    <row r="305" spans="1:21" x14ac:dyDescent="0.2">
      <c r="A305" s="642"/>
      <c r="B305" s="642"/>
      <c r="C305" s="642"/>
      <c r="D305" s="642"/>
      <c r="E305" s="642"/>
      <c r="F305" s="642"/>
      <c r="G305" s="642"/>
      <c r="H305" s="642"/>
      <c r="I305" s="642"/>
      <c r="J305" s="642"/>
      <c r="K305" s="642"/>
      <c r="L305" s="642"/>
      <c r="M305" s="642"/>
      <c r="N305" s="642"/>
      <c r="O305" s="642"/>
      <c r="P305" s="642"/>
      <c r="Q305" s="642"/>
      <c r="R305" s="642"/>
      <c r="S305" s="642"/>
      <c r="T305" s="642"/>
      <c r="U305" s="642"/>
    </row>
    <row r="306" spans="1:21" x14ac:dyDescent="0.2">
      <c r="A306" s="642"/>
      <c r="B306" s="642"/>
      <c r="C306" s="642"/>
      <c r="D306" s="642"/>
      <c r="E306" s="642"/>
      <c r="F306" s="642"/>
      <c r="G306" s="642"/>
      <c r="H306" s="642"/>
      <c r="I306" s="642"/>
      <c r="J306" s="642"/>
      <c r="K306" s="642"/>
      <c r="L306" s="642"/>
      <c r="M306" s="642"/>
      <c r="N306" s="642"/>
      <c r="O306" s="642"/>
      <c r="P306" s="642"/>
      <c r="Q306" s="642"/>
      <c r="R306" s="642"/>
      <c r="S306" s="642"/>
      <c r="T306" s="642"/>
      <c r="U306" s="642"/>
    </row>
    <row r="307" spans="1:21" x14ac:dyDescent="0.2">
      <c r="A307" s="642"/>
      <c r="B307" s="642"/>
      <c r="C307" s="642"/>
      <c r="D307" s="642"/>
      <c r="E307" s="642"/>
      <c r="F307" s="642"/>
      <c r="G307" s="642"/>
      <c r="H307" s="642"/>
      <c r="I307" s="642"/>
      <c r="J307" s="642"/>
      <c r="K307" s="642"/>
      <c r="L307" s="642"/>
      <c r="M307" s="642"/>
      <c r="N307" s="642"/>
      <c r="O307" s="642"/>
      <c r="P307" s="642"/>
      <c r="Q307" s="642"/>
      <c r="R307" s="642"/>
      <c r="S307" s="642"/>
      <c r="T307" s="642"/>
      <c r="U307" s="642"/>
    </row>
    <row r="308" spans="1:21" x14ac:dyDescent="0.2">
      <c r="A308" s="642"/>
      <c r="B308" s="642"/>
      <c r="C308" s="642"/>
      <c r="D308" s="642"/>
      <c r="E308" s="642"/>
      <c r="F308" s="642"/>
      <c r="G308" s="642"/>
      <c r="H308" s="642"/>
      <c r="I308" s="642"/>
      <c r="J308" s="642"/>
      <c r="K308" s="642"/>
      <c r="L308" s="642"/>
      <c r="M308" s="642"/>
      <c r="N308" s="642"/>
      <c r="O308" s="642"/>
      <c r="P308" s="642"/>
      <c r="Q308" s="642"/>
      <c r="R308" s="642"/>
      <c r="S308" s="642"/>
      <c r="T308" s="642"/>
      <c r="U308" s="642"/>
    </row>
    <row r="309" spans="1:21" x14ac:dyDescent="0.2">
      <c r="A309" s="642"/>
      <c r="B309" s="642"/>
      <c r="C309" s="642"/>
      <c r="D309" s="642"/>
      <c r="E309" s="642"/>
      <c r="F309" s="642"/>
      <c r="G309" s="642"/>
      <c r="H309" s="642"/>
      <c r="I309" s="642"/>
      <c r="J309" s="642"/>
      <c r="K309" s="642"/>
      <c r="L309" s="642"/>
      <c r="M309" s="642"/>
      <c r="N309" s="642"/>
      <c r="O309" s="642"/>
      <c r="P309" s="642"/>
      <c r="Q309" s="642"/>
      <c r="R309" s="642"/>
      <c r="S309" s="642"/>
      <c r="T309" s="642"/>
      <c r="U309" s="642"/>
    </row>
    <row r="310" spans="1:21" x14ac:dyDescent="0.2">
      <c r="A310" s="642"/>
      <c r="B310" s="642"/>
      <c r="C310" s="642"/>
      <c r="D310" s="642"/>
      <c r="E310" s="642"/>
      <c r="F310" s="642"/>
      <c r="G310" s="642"/>
      <c r="H310" s="642"/>
      <c r="I310" s="642"/>
      <c r="J310" s="642"/>
      <c r="K310" s="642"/>
      <c r="L310" s="642"/>
      <c r="M310" s="642"/>
      <c r="N310" s="642"/>
      <c r="O310" s="642"/>
      <c r="P310" s="642"/>
      <c r="Q310" s="642"/>
      <c r="R310" s="642"/>
      <c r="S310" s="642"/>
      <c r="T310" s="642"/>
      <c r="U310" s="642"/>
    </row>
    <row r="311" spans="1:21" x14ac:dyDescent="0.2">
      <c r="A311" s="642"/>
      <c r="B311" s="642"/>
      <c r="C311" s="642"/>
      <c r="D311" s="642"/>
      <c r="E311" s="642"/>
      <c r="F311" s="642"/>
      <c r="G311" s="642"/>
      <c r="H311" s="642"/>
      <c r="I311" s="642"/>
      <c r="J311" s="642"/>
      <c r="K311" s="642"/>
      <c r="L311" s="642"/>
      <c r="M311" s="642"/>
      <c r="N311" s="642"/>
      <c r="O311" s="642"/>
      <c r="P311" s="642"/>
      <c r="Q311" s="642"/>
      <c r="R311" s="642"/>
      <c r="S311" s="642"/>
      <c r="T311" s="642"/>
      <c r="U311" s="642"/>
    </row>
    <row r="312" spans="1:21" x14ac:dyDescent="0.2">
      <c r="A312" s="642"/>
      <c r="B312" s="642"/>
      <c r="C312" s="642"/>
      <c r="D312" s="642"/>
      <c r="E312" s="642"/>
      <c r="F312" s="642"/>
      <c r="G312" s="642"/>
      <c r="H312" s="642"/>
      <c r="I312" s="642"/>
      <c r="J312" s="642"/>
      <c r="K312" s="642"/>
      <c r="L312" s="642"/>
      <c r="M312" s="642"/>
      <c r="N312" s="642"/>
      <c r="O312" s="642"/>
      <c r="P312" s="642"/>
      <c r="Q312" s="642"/>
      <c r="R312" s="642"/>
      <c r="S312" s="642"/>
      <c r="T312" s="642"/>
      <c r="U312" s="642"/>
    </row>
    <row r="313" spans="1:21" x14ac:dyDescent="0.2">
      <c r="A313" s="642"/>
      <c r="B313" s="642"/>
      <c r="C313" s="642"/>
      <c r="D313" s="642"/>
      <c r="E313" s="642"/>
      <c r="F313" s="642"/>
      <c r="G313" s="642"/>
      <c r="H313" s="642"/>
      <c r="I313" s="642"/>
      <c r="J313" s="642"/>
      <c r="K313" s="642"/>
      <c r="L313" s="642"/>
      <c r="M313" s="642"/>
      <c r="N313" s="642"/>
      <c r="O313" s="642"/>
      <c r="P313" s="642"/>
      <c r="Q313" s="642"/>
      <c r="R313" s="642"/>
      <c r="S313" s="642"/>
      <c r="T313" s="642"/>
      <c r="U313" s="642"/>
    </row>
    <row r="314" spans="1:21" x14ac:dyDescent="0.2">
      <c r="A314" s="642"/>
      <c r="B314" s="642"/>
      <c r="C314" s="642"/>
      <c r="D314" s="642"/>
      <c r="E314" s="642"/>
      <c r="F314" s="642"/>
      <c r="G314" s="642"/>
      <c r="H314" s="642"/>
      <c r="I314" s="642"/>
      <c r="J314" s="642"/>
      <c r="K314" s="642"/>
      <c r="L314" s="642"/>
      <c r="M314" s="642"/>
      <c r="N314" s="642"/>
      <c r="O314" s="642"/>
      <c r="P314" s="642"/>
      <c r="Q314" s="642"/>
      <c r="R314" s="642"/>
      <c r="S314" s="642"/>
      <c r="T314" s="642"/>
      <c r="U314" s="642"/>
    </row>
    <row r="315" spans="1:21" x14ac:dyDescent="0.2">
      <c r="A315" s="642"/>
      <c r="B315" s="642"/>
      <c r="C315" s="642"/>
      <c r="D315" s="642"/>
      <c r="E315" s="642"/>
      <c r="F315" s="642"/>
      <c r="G315" s="642"/>
      <c r="H315" s="642"/>
      <c r="I315" s="642"/>
      <c r="J315" s="642"/>
      <c r="K315" s="642"/>
      <c r="L315" s="642"/>
      <c r="M315" s="642"/>
      <c r="N315" s="642"/>
      <c r="O315" s="642"/>
      <c r="P315" s="642"/>
      <c r="Q315" s="642"/>
      <c r="R315" s="642"/>
      <c r="S315" s="642"/>
      <c r="T315" s="642"/>
      <c r="U315" s="642"/>
    </row>
    <row r="316" spans="1:21" x14ac:dyDescent="0.2">
      <c r="A316" s="642"/>
      <c r="B316" s="642"/>
      <c r="C316" s="642"/>
      <c r="D316" s="642"/>
      <c r="E316" s="642"/>
      <c r="F316" s="642"/>
      <c r="G316" s="642"/>
      <c r="H316" s="642"/>
      <c r="I316" s="642"/>
      <c r="J316" s="642"/>
      <c r="K316" s="642"/>
      <c r="L316" s="642"/>
      <c r="M316" s="642"/>
      <c r="N316" s="642"/>
      <c r="O316" s="642"/>
      <c r="P316" s="642"/>
      <c r="Q316" s="642"/>
      <c r="R316" s="642"/>
      <c r="S316" s="642"/>
      <c r="T316" s="642"/>
      <c r="U316" s="642"/>
    </row>
    <row r="317" spans="1:21" x14ac:dyDescent="0.2">
      <c r="A317" s="642"/>
      <c r="B317" s="642"/>
      <c r="C317" s="642"/>
      <c r="D317" s="642"/>
      <c r="E317" s="642"/>
      <c r="F317" s="642"/>
      <c r="G317" s="642"/>
      <c r="H317" s="642"/>
      <c r="I317" s="642"/>
      <c r="J317" s="642"/>
      <c r="K317" s="642"/>
      <c r="L317" s="642"/>
      <c r="M317" s="642"/>
      <c r="N317" s="642"/>
      <c r="O317" s="642"/>
      <c r="P317" s="642"/>
      <c r="Q317" s="642"/>
      <c r="R317" s="642"/>
      <c r="S317" s="642"/>
      <c r="T317" s="642"/>
      <c r="U317" s="642"/>
    </row>
    <row r="318" spans="1:21" x14ac:dyDescent="0.2">
      <c r="A318" s="642"/>
      <c r="B318" s="642"/>
      <c r="C318" s="642"/>
      <c r="D318" s="642"/>
      <c r="E318" s="642"/>
      <c r="F318" s="642"/>
      <c r="G318" s="642"/>
      <c r="H318" s="642"/>
      <c r="I318" s="642"/>
      <c r="J318" s="642"/>
      <c r="K318" s="642"/>
      <c r="L318" s="642"/>
      <c r="M318" s="642"/>
      <c r="N318" s="642"/>
      <c r="O318" s="642"/>
      <c r="P318" s="642"/>
      <c r="Q318" s="642"/>
      <c r="R318" s="642"/>
      <c r="S318" s="642"/>
      <c r="T318" s="642"/>
      <c r="U318" s="642"/>
    </row>
    <row r="319" spans="1:21" x14ac:dyDescent="0.2">
      <c r="A319" s="642"/>
      <c r="B319" s="642"/>
      <c r="C319" s="642"/>
      <c r="D319" s="642"/>
      <c r="E319" s="642"/>
      <c r="F319" s="642"/>
      <c r="G319" s="642"/>
      <c r="H319" s="642"/>
      <c r="I319" s="642"/>
      <c r="J319" s="642"/>
      <c r="K319" s="642"/>
      <c r="L319" s="642"/>
      <c r="M319" s="642"/>
      <c r="N319" s="642"/>
      <c r="O319" s="642"/>
      <c r="P319" s="642"/>
      <c r="Q319" s="642"/>
      <c r="R319" s="642"/>
      <c r="S319" s="642"/>
      <c r="T319" s="642"/>
      <c r="U319" s="642"/>
    </row>
    <row r="320" spans="1:21" x14ac:dyDescent="0.2">
      <c r="A320" s="642"/>
      <c r="B320" s="642"/>
      <c r="C320" s="642"/>
      <c r="D320" s="642"/>
      <c r="E320" s="642"/>
      <c r="F320" s="642"/>
      <c r="G320" s="642"/>
      <c r="H320" s="642"/>
      <c r="I320" s="642"/>
      <c r="J320" s="642"/>
      <c r="K320" s="642"/>
      <c r="L320" s="642"/>
      <c r="M320" s="642"/>
      <c r="N320" s="642"/>
      <c r="O320" s="642"/>
      <c r="P320" s="642"/>
      <c r="Q320" s="642"/>
      <c r="R320" s="642"/>
      <c r="S320" s="642"/>
      <c r="T320" s="642"/>
      <c r="U320" s="642"/>
    </row>
    <row r="321" spans="1:21" x14ac:dyDescent="0.2">
      <c r="A321" s="642"/>
      <c r="B321" s="642"/>
      <c r="C321" s="642"/>
      <c r="D321" s="642"/>
      <c r="E321" s="642"/>
      <c r="F321" s="642"/>
      <c r="G321" s="642"/>
      <c r="H321" s="642"/>
      <c r="I321" s="642"/>
      <c r="J321" s="642"/>
      <c r="K321" s="642"/>
      <c r="L321" s="642"/>
      <c r="M321" s="642"/>
      <c r="N321" s="642"/>
      <c r="O321" s="642"/>
      <c r="P321" s="642"/>
      <c r="Q321" s="642"/>
      <c r="R321" s="642"/>
      <c r="S321" s="642"/>
      <c r="T321" s="642"/>
      <c r="U321" s="642"/>
    </row>
    <row r="322" spans="1:21" x14ac:dyDescent="0.2">
      <c r="A322" s="642"/>
      <c r="B322" s="642"/>
      <c r="C322" s="642"/>
      <c r="D322" s="642"/>
      <c r="E322" s="642"/>
      <c r="F322" s="642"/>
      <c r="G322" s="642"/>
      <c r="H322" s="642"/>
      <c r="I322" s="642"/>
      <c r="J322" s="642"/>
      <c r="K322" s="642"/>
      <c r="L322" s="642"/>
      <c r="M322" s="642"/>
      <c r="N322" s="642"/>
      <c r="O322" s="642"/>
      <c r="P322" s="642"/>
      <c r="Q322" s="642"/>
      <c r="R322" s="642"/>
      <c r="S322" s="642"/>
      <c r="T322" s="642"/>
      <c r="U322" s="642"/>
    </row>
    <row r="323" spans="1:21" x14ac:dyDescent="0.2">
      <c r="A323" s="642"/>
      <c r="B323" s="642"/>
      <c r="C323" s="642"/>
      <c r="D323" s="642"/>
      <c r="E323" s="642"/>
      <c r="F323" s="642"/>
      <c r="G323" s="642"/>
      <c r="H323" s="642"/>
      <c r="I323" s="642"/>
      <c r="J323" s="642"/>
      <c r="K323" s="642"/>
      <c r="L323" s="642"/>
      <c r="M323" s="642"/>
      <c r="N323" s="642"/>
      <c r="O323" s="642"/>
      <c r="P323" s="642"/>
      <c r="Q323" s="642"/>
      <c r="R323" s="642"/>
      <c r="S323" s="642"/>
      <c r="T323" s="642"/>
      <c r="U323" s="642"/>
    </row>
    <row r="324" spans="1:21" x14ac:dyDescent="0.2">
      <c r="A324" s="642"/>
      <c r="B324" s="642"/>
      <c r="C324" s="642"/>
      <c r="D324" s="642"/>
      <c r="E324" s="642"/>
      <c r="F324" s="642"/>
      <c r="G324" s="642"/>
      <c r="H324" s="642"/>
      <c r="I324" s="642"/>
      <c r="J324" s="642"/>
      <c r="K324" s="642"/>
      <c r="L324" s="642"/>
      <c r="M324" s="642"/>
      <c r="N324" s="642"/>
      <c r="O324" s="642"/>
      <c r="P324" s="642"/>
      <c r="Q324" s="642"/>
      <c r="R324" s="642"/>
      <c r="S324" s="642"/>
      <c r="T324" s="642"/>
      <c r="U324" s="642"/>
    </row>
    <row r="325" spans="1:21" x14ac:dyDescent="0.2">
      <c r="A325" s="642"/>
      <c r="B325" s="642"/>
      <c r="C325" s="642"/>
      <c r="D325" s="642"/>
      <c r="E325" s="642"/>
      <c r="F325" s="642"/>
      <c r="G325" s="642"/>
      <c r="H325" s="642"/>
      <c r="I325" s="642"/>
      <c r="J325" s="642"/>
      <c r="K325" s="642"/>
      <c r="L325" s="642"/>
      <c r="M325" s="642"/>
      <c r="N325" s="642"/>
      <c r="O325" s="642"/>
      <c r="P325" s="642"/>
      <c r="Q325" s="642"/>
      <c r="R325" s="642"/>
      <c r="S325" s="642"/>
      <c r="T325" s="642"/>
      <c r="U325" s="642"/>
    </row>
    <row r="326" spans="1:21" x14ac:dyDescent="0.2">
      <c r="A326" s="642"/>
      <c r="B326" s="642"/>
      <c r="C326" s="642"/>
      <c r="D326" s="642"/>
      <c r="E326" s="642"/>
      <c r="F326" s="642"/>
      <c r="G326" s="642"/>
      <c r="H326" s="642"/>
      <c r="I326" s="642"/>
      <c r="J326" s="642"/>
      <c r="K326" s="642"/>
      <c r="L326" s="642"/>
      <c r="M326" s="642"/>
      <c r="N326" s="642"/>
      <c r="O326" s="642"/>
      <c r="P326" s="642"/>
      <c r="Q326" s="642"/>
      <c r="R326" s="642"/>
      <c r="S326" s="642"/>
      <c r="T326" s="642"/>
      <c r="U326" s="642"/>
    </row>
    <row r="327" spans="1:21" x14ac:dyDescent="0.2">
      <c r="A327" s="642"/>
      <c r="B327" s="642"/>
      <c r="C327" s="642"/>
      <c r="D327" s="642"/>
      <c r="E327" s="642"/>
      <c r="F327" s="642"/>
      <c r="G327" s="642"/>
      <c r="H327" s="642"/>
      <c r="I327" s="642"/>
      <c r="J327" s="642"/>
      <c r="K327" s="642"/>
      <c r="L327" s="642"/>
      <c r="M327" s="642"/>
      <c r="N327" s="642"/>
      <c r="O327" s="642"/>
      <c r="P327" s="642"/>
      <c r="Q327" s="642"/>
      <c r="R327" s="642"/>
      <c r="S327" s="642"/>
      <c r="T327" s="642"/>
      <c r="U327" s="642"/>
    </row>
    <row r="328" spans="1:21" x14ac:dyDescent="0.2">
      <c r="A328" s="642"/>
      <c r="B328" s="642"/>
      <c r="C328" s="642"/>
      <c r="D328" s="642"/>
      <c r="E328" s="642"/>
      <c r="F328" s="642"/>
      <c r="G328" s="642"/>
      <c r="H328" s="642"/>
      <c r="I328" s="642"/>
      <c r="J328" s="642"/>
      <c r="K328" s="642"/>
      <c r="L328" s="642"/>
      <c r="M328" s="642"/>
      <c r="N328" s="642"/>
      <c r="O328" s="642"/>
      <c r="P328" s="642"/>
      <c r="Q328" s="642"/>
      <c r="R328" s="642"/>
      <c r="S328" s="642"/>
      <c r="T328" s="642"/>
      <c r="U328" s="642"/>
    </row>
    <row r="329" spans="1:21" x14ac:dyDescent="0.2">
      <c r="A329" s="642"/>
      <c r="B329" s="642"/>
      <c r="C329" s="642"/>
      <c r="D329" s="642"/>
      <c r="E329" s="642"/>
      <c r="F329" s="642"/>
      <c r="G329" s="642"/>
      <c r="H329" s="642"/>
      <c r="I329" s="642"/>
      <c r="J329" s="642"/>
      <c r="K329" s="642"/>
      <c r="L329" s="642"/>
      <c r="M329" s="642"/>
      <c r="N329" s="642"/>
      <c r="O329" s="642"/>
      <c r="P329" s="642"/>
      <c r="Q329" s="642"/>
      <c r="R329" s="642"/>
      <c r="S329" s="642"/>
      <c r="T329" s="642"/>
      <c r="U329" s="642"/>
    </row>
    <row r="330" spans="1:21" x14ac:dyDescent="0.2">
      <c r="A330" s="642"/>
      <c r="B330" s="642"/>
      <c r="C330" s="642"/>
      <c r="D330" s="642"/>
      <c r="E330" s="642"/>
      <c r="F330" s="642"/>
      <c r="G330" s="642"/>
      <c r="H330" s="642"/>
      <c r="I330" s="642"/>
      <c r="J330" s="642"/>
      <c r="K330" s="642"/>
      <c r="L330" s="642"/>
      <c r="M330" s="642"/>
      <c r="N330" s="642"/>
      <c r="O330" s="642"/>
      <c r="P330" s="642"/>
      <c r="Q330" s="642"/>
      <c r="R330" s="642"/>
      <c r="S330" s="642"/>
      <c r="T330" s="642"/>
      <c r="U330" s="642"/>
    </row>
    <row r="331" spans="1:21" x14ac:dyDescent="0.2">
      <c r="A331" s="642"/>
      <c r="B331" s="642"/>
      <c r="C331" s="642"/>
      <c r="D331" s="642"/>
      <c r="E331" s="642"/>
      <c r="F331" s="642"/>
      <c r="G331" s="642"/>
      <c r="H331" s="642"/>
      <c r="I331" s="642"/>
      <c r="J331" s="642"/>
      <c r="K331" s="642"/>
      <c r="L331" s="642"/>
      <c r="M331" s="642"/>
      <c r="N331" s="642"/>
      <c r="O331" s="642"/>
      <c r="P331" s="642"/>
      <c r="Q331" s="642"/>
      <c r="R331" s="642"/>
      <c r="S331" s="642"/>
      <c r="T331" s="642"/>
      <c r="U331" s="642"/>
    </row>
    <row r="332" spans="1:21" x14ac:dyDescent="0.2">
      <c r="A332" s="642"/>
      <c r="B332" s="642"/>
      <c r="C332" s="642"/>
      <c r="D332" s="642"/>
      <c r="E332" s="642"/>
      <c r="F332" s="642"/>
      <c r="G332" s="642"/>
      <c r="H332" s="642"/>
      <c r="I332" s="642"/>
      <c r="J332" s="642"/>
      <c r="K332" s="642"/>
      <c r="L332" s="642"/>
      <c r="M332" s="642"/>
      <c r="N332" s="642"/>
      <c r="O332" s="642"/>
      <c r="P332" s="642"/>
      <c r="Q332" s="642"/>
      <c r="R332" s="642"/>
      <c r="S332" s="642"/>
      <c r="T332" s="642"/>
      <c r="U332" s="642"/>
    </row>
    <row r="333" spans="1:21" x14ac:dyDescent="0.2">
      <c r="A333" s="642"/>
      <c r="B333" s="642"/>
      <c r="C333" s="642"/>
      <c r="D333" s="642"/>
      <c r="E333" s="642"/>
      <c r="F333" s="642"/>
      <c r="G333" s="642"/>
      <c r="H333" s="642"/>
      <c r="I333" s="642"/>
      <c r="J333" s="642"/>
      <c r="K333" s="642"/>
      <c r="L333" s="642"/>
      <c r="M333" s="642"/>
      <c r="N333" s="642"/>
      <c r="O333" s="642"/>
      <c r="P333" s="642"/>
      <c r="Q333" s="642"/>
      <c r="R333" s="642"/>
      <c r="S333" s="642"/>
      <c r="T333" s="642"/>
      <c r="U333" s="642"/>
    </row>
    <row r="334" spans="1:21" x14ac:dyDescent="0.2">
      <c r="A334" s="642"/>
      <c r="B334" s="642"/>
      <c r="C334" s="642"/>
      <c r="D334" s="642"/>
      <c r="E334" s="642"/>
      <c r="F334" s="642"/>
      <c r="G334" s="642"/>
      <c r="H334" s="642"/>
      <c r="I334" s="642"/>
      <c r="J334" s="642"/>
      <c r="K334" s="642"/>
      <c r="L334" s="642"/>
      <c r="M334" s="642"/>
      <c r="N334" s="642"/>
      <c r="O334" s="642"/>
      <c r="P334" s="642"/>
      <c r="Q334" s="642"/>
      <c r="R334" s="642"/>
      <c r="S334" s="642"/>
      <c r="T334" s="642"/>
      <c r="U334" s="642"/>
    </row>
    <row r="335" spans="1:21" x14ac:dyDescent="0.2">
      <c r="A335" s="642"/>
      <c r="B335" s="642"/>
      <c r="C335" s="642"/>
      <c r="D335" s="642"/>
      <c r="E335" s="642"/>
      <c r="F335" s="642"/>
      <c r="G335" s="642"/>
      <c r="H335" s="642"/>
      <c r="I335" s="642"/>
      <c r="J335" s="642"/>
      <c r="K335" s="642"/>
      <c r="L335" s="642"/>
      <c r="M335" s="642"/>
      <c r="N335" s="642"/>
      <c r="O335" s="642"/>
      <c r="P335" s="642"/>
      <c r="Q335" s="642"/>
      <c r="R335" s="642"/>
      <c r="S335" s="642"/>
      <c r="T335" s="642"/>
      <c r="U335" s="642"/>
    </row>
    <row r="336" spans="1:21" x14ac:dyDescent="0.2">
      <c r="A336" s="642"/>
      <c r="B336" s="642"/>
      <c r="C336" s="642"/>
      <c r="D336" s="642"/>
      <c r="E336" s="642"/>
      <c r="F336" s="642"/>
      <c r="G336" s="642"/>
      <c r="H336" s="642"/>
      <c r="I336" s="642"/>
      <c r="J336" s="642"/>
      <c r="K336" s="642"/>
      <c r="L336" s="642"/>
      <c r="M336" s="642"/>
      <c r="N336" s="642"/>
      <c r="O336" s="642"/>
      <c r="P336" s="642"/>
      <c r="Q336" s="642"/>
      <c r="R336" s="642"/>
      <c r="S336" s="642"/>
      <c r="T336" s="642"/>
      <c r="U336" s="642"/>
    </row>
    <row r="337" spans="1:21" x14ac:dyDescent="0.2">
      <c r="A337" s="642"/>
      <c r="B337" s="642"/>
      <c r="C337" s="642"/>
      <c r="D337" s="642"/>
      <c r="E337" s="642"/>
      <c r="F337" s="642"/>
      <c r="G337" s="642"/>
      <c r="H337" s="642"/>
      <c r="I337" s="642"/>
      <c r="J337" s="642"/>
      <c r="K337" s="642"/>
      <c r="L337" s="642"/>
      <c r="M337" s="642"/>
      <c r="N337" s="642"/>
      <c r="O337" s="642"/>
      <c r="P337" s="642"/>
      <c r="Q337" s="642"/>
      <c r="R337" s="642"/>
      <c r="S337" s="642"/>
      <c r="T337" s="642"/>
      <c r="U337" s="642"/>
    </row>
    <row r="338" spans="1:21" x14ac:dyDescent="0.2">
      <c r="A338" s="642"/>
      <c r="B338" s="642"/>
      <c r="C338" s="642"/>
      <c r="D338" s="642"/>
      <c r="E338" s="642"/>
      <c r="F338" s="642"/>
      <c r="G338" s="642"/>
      <c r="H338" s="642"/>
      <c r="I338" s="642"/>
      <c r="J338" s="642"/>
      <c r="K338" s="642"/>
      <c r="L338" s="642"/>
      <c r="M338" s="642"/>
      <c r="N338" s="642"/>
      <c r="O338" s="642"/>
      <c r="P338" s="642"/>
      <c r="Q338" s="642"/>
      <c r="R338" s="642"/>
      <c r="S338" s="642"/>
      <c r="T338" s="642"/>
      <c r="U338" s="642"/>
    </row>
    <row r="339" spans="1:21" x14ac:dyDescent="0.2">
      <c r="A339" s="642"/>
      <c r="B339" s="642"/>
      <c r="C339" s="642"/>
      <c r="D339" s="642"/>
      <c r="E339" s="642"/>
      <c r="F339" s="642"/>
      <c r="G339" s="642"/>
      <c r="H339" s="642"/>
      <c r="I339" s="642"/>
      <c r="J339" s="642"/>
      <c r="K339" s="642"/>
      <c r="L339" s="642"/>
      <c r="M339" s="642"/>
      <c r="N339" s="642"/>
      <c r="O339" s="642"/>
      <c r="P339" s="642"/>
      <c r="Q339" s="642"/>
      <c r="R339" s="642"/>
      <c r="S339" s="642"/>
      <c r="T339" s="642"/>
      <c r="U339" s="642"/>
    </row>
    <row r="340" spans="1:21" x14ac:dyDescent="0.2">
      <c r="A340" s="642"/>
      <c r="B340" s="642"/>
      <c r="C340" s="642"/>
      <c r="D340" s="642"/>
      <c r="E340" s="642"/>
      <c r="F340" s="642"/>
      <c r="G340" s="642"/>
      <c r="H340" s="642"/>
      <c r="I340" s="642"/>
      <c r="J340" s="642"/>
      <c r="K340" s="642"/>
      <c r="L340" s="642"/>
      <c r="M340" s="642"/>
      <c r="N340" s="642"/>
      <c r="O340" s="642"/>
      <c r="P340" s="642"/>
      <c r="Q340" s="642"/>
      <c r="R340" s="642"/>
      <c r="S340" s="642"/>
      <c r="T340" s="642"/>
      <c r="U340" s="642"/>
    </row>
    <row r="341" spans="1:21" x14ac:dyDescent="0.2">
      <c r="A341" s="642"/>
      <c r="B341" s="642"/>
      <c r="C341" s="642"/>
      <c r="D341" s="642"/>
      <c r="E341" s="642"/>
      <c r="F341" s="642"/>
      <c r="G341" s="642"/>
      <c r="H341" s="642"/>
      <c r="I341" s="642"/>
      <c r="J341" s="642"/>
      <c r="K341" s="642"/>
      <c r="L341" s="642"/>
      <c r="M341" s="642"/>
      <c r="N341" s="642"/>
      <c r="O341" s="642"/>
      <c r="P341" s="642"/>
      <c r="Q341" s="642"/>
      <c r="R341" s="642"/>
      <c r="S341" s="642"/>
      <c r="T341" s="642"/>
      <c r="U341" s="642"/>
    </row>
    <row r="342" spans="1:21" x14ac:dyDescent="0.2">
      <c r="A342" s="642"/>
      <c r="B342" s="642"/>
      <c r="C342" s="642"/>
      <c r="D342" s="642"/>
      <c r="E342" s="642"/>
      <c r="F342" s="642"/>
      <c r="G342" s="642"/>
      <c r="H342" s="642"/>
      <c r="I342" s="642"/>
      <c r="J342" s="642"/>
      <c r="K342" s="642"/>
      <c r="L342" s="642"/>
      <c r="M342" s="642"/>
      <c r="N342" s="642"/>
      <c r="O342" s="642"/>
      <c r="P342" s="642"/>
      <c r="Q342" s="642"/>
      <c r="R342" s="642"/>
      <c r="S342" s="642"/>
      <c r="T342" s="642"/>
      <c r="U342" s="642"/>
    </row>
    <row r="343" spans="1:21" x14ac:dyDescent="0.2">
      <c r="A343" s="642"/>
      <c r="B343" s="642"/>
      <c r="C343" s="642"/>
      <c r="D343" s="642"/>
      <c r="E343" s="642"/>
      <c r="F343" s="642"/>
      <c r="G343" s="642"/>
      <c r="H343" s="642"/>
      <c r="I343" s="642"/>
      <c r="J343" s="642"/>
      <c r="K343" s="642"/>
      <c r="L343" s="642"/>
      <c r="M343" s="642"/>
      <c r="N343" s="642"/>
      <c r="O343" s="642"/>
      <c r="P343" s="642"/>
      <c r="Q343" s="642"/>
      <c r="R343" s="642"/>
      <c r="S343" s="642"/>
      <c r="T343" s="642"/>
      <c r="U343" s="642"/>
    </row>
    <row r="344" spans="1:21" x14ac:dyDescent="0.2">
      <c r="A344" s="642"/>
      <c r="B344" s="642"/>
      <c r="C344" s="642"/>
      <c r="D344" s="642"/>
      <c r="E344" s="642"/>
      <c r="F344" s="642"/>
      <c r="G344" s="642"/>
      <c r="H344" s="642"/>
      <c r="I344" s="642"/>
      <c r="J344" s="642"/>
      <c r="K344" s="642"/>
      <c r="L344" s="642"/>
      <c r="M344" s="642"/>
      <c r="N344" s="642"/>
      <c r="O344" s="642"/>
      <c r="P344" s="642"/>
      <c r="Q344" s="642"/>
      <c r="R344" s="642"/>
      <c r="S344" s="642"/>
      <c r="T344" s="642"/>
      <c r="U344" s="642"/>
    </row>
    <row r="345" spans="1:21" x14ac:dyDescent="0.2">
      <c r="A345" s="642"/>
      <c r="B345" s="642"/>
      <c r="C345" s="642"/>
      <c r="D345" s="642"/>
      <c r="E345" s="642"/>
      <c r="F345" s="642"/>
      <c r="G345" s="642"/>
      <c r="H345" s="642"/>
      <c r="I345" s="642"/>
      <c r="J345" s="642"/>
      <c r="K345" s="642"/>
      <c r="L345" s="642"/>
      <c r="M345" s="642"/>
      <c r="N345" s="642"/>
      <c r="O345" s="642"/>
      <c r="P345" s="642"/>
      <c r="Q345" s="642"/>
      <c r="R345" s="642"/>
      <c r="S345" s="642"/>
      <c r="T345" s="642"/>
      <c r="U345" s="642"/>
    </row>
    <row r="346" spans="1:21" x14ac:dyDescent="0.2">
      <c r="A346" s="642"/>
      <c r="B346" s="642"/>
      <c r="C346" s="642"/>
      <c r="D346" s="642"/>
      <c r="E346" s="642"/>
      <c r="F346" s="642"/>
      <c r="G346" s="642"/>
      <c r="H346" s="642"/>
      <c r="I346" s="642"/>
      <c r="J346" s="642"/>
      <c r="K346" s="642"/>
      <c r="L346" s="642"/>
      <c r="M346" s="642"/>
      <c r="N346" s="642"/>
      <c r="O346" s="642"/>
      <c r="P346" s="642"/>
      <c r="Q346" s="642"/>
      <c r="R346" s="642"/>
      <c r="S346" s="642"/>
      <c r="T346" s="642"/>
      <c r="U346" s="642"/>
    </row>
    <row r="347" spans="1:21" x14ac:dyDescent="0.2">
      <c r="A347" s="642"/>
      <c r="B347" s="642"/>
      <c r="C347" s="642"/>
      <c r="D347" s="642"/>
      <c r="E347" s="642"/>
      <c r="F347" s="642"/>
      <c r="G347" s="642"/>
      <c r="H347" s="642"/>
      <c r="I347" s="642"/>
      <c r="J347" s="642"/>
      <c r="K347" s="642"/>
      <c r="L347" s="642"/>
      <c r="M347" s="642"/>
      <c r="N347" s="642"/>
      <c r="O347" s="642"/>
      <c r="P347" s="642"/>
      <c r="Q347" s="642"/>
      <c r="R347" s="642"/>
      <c r="S347" s="642"/>
      <c r="T347" s="642"/>
      <c r="U347" s="642"/>
    </row>
    <row r="348" spans="1:21" x14ac:dyDescent="0.2">
      <c r="A348" s="642"/>
      <c r="B348" s="642"/>
      <c r="C348" s="642"/>
      <c r="D348" s="642"/>
      <c r="E348" s="642"/>
      <c r="F348" s="642"/>
      <c r="G348" s="642"/>
      <c r="H348" s="642"/>
      <c r="I348" s="642"/>
      <c r="J348" s="642"/>
      <c r="K348" s="642"/>
      <c r="L348" s="642"/>
      <c r="M348" s="642"/>
      <c r="N348" s="642"/>
      <c r="O348" s="642"/>
      <c r="P348" s="642"/>
      <c r="Q348" s="642"/>
      <c r="R348" s="642"/>
      <c r="S348" s="642"/>
      <c r="T348" s="642"/>
      <c r="U348" s="642"/>
    </row>
    <row r="349" spans="1:21" x14ac:dyDescent="0.2">
      <c r="A349" s="642"/>
      <c r="B349" s="642"/>
      <c r="C349" s="642"/>
      <c r="D349" s="642"/>
      <c r="E349" s="642"/>
      <c r="F349" s="642"/>
      <c r="G349" s="642"/>
      <c r="H349" s="642"/>
      <c r="I349" s="642"/>
      <c r="J349" s="642"/>
      <c r="K349" s="642"/>
      <c r="L349" s="642"/>
      <c r="M349" s="642"/>
      <c r="N349" s="642"/>
      <c r="O349" s="642"/>
      <c r="P349" s="642"/>
      <c r="Q349" s="642"/>
      <c r="R349" s="642"/>
      <c r="S349" s="642"/>
      <c r="T349" s="642"/>
      <c r="U349" s="642"/>
    </row>
    <row r="350" spans="1:21" x14ac:dyDescent="0.2">
      <c r="A350" s="642"/>
      <c r="B350" s="642"/>
      <c r="C350" s="642"/>
      <c r="D350" s="642"/>
      <c r="E350" s="642"/>
      <c r="F350" s="642"/>
      <c r="G350" s="642"/>
      <c r="H350" s="642"/>
      <c r="I350" s="642"/>
      <c r="J350" s="642"/>
      <c r="K350" s="642"/>
      <c r="L350" s="642"/>
      <c r="M350" s="642"/>
      <c r="N350" s="642"/>
      <c r="O350" s="642"/>
      <c r="P350" s="642"/>
      <c r="Q350" s="642"/>
      <c r="R350" s="642"/>
      <c r="S350" s="642"/>
      <c r="T350" s="642"/>
      <c r="U350" s="642"/>
    </row>
    <row r="351" spans="1:21" x14ac:dyDescent="0.2">
      <c r="A351" s="642"/>
      <c r="B351" s="642"/>
      <c r="C351" s="642"/>
      <c r="D351" s="642"/>
      <c r="E351" s="642"/>
      <c r="F351" s="642"/>
      <c r="G351" s="642"/>
      <c r="H351" s="642"/>
      <c r="I351" s="642"/>
      <c r="J351" s="642"/>
      <c r="K351" s="642"/>
      <c r="L351" s="642"/>
      <c r="M351" s="642"/>
      <c r="N351" s="642"/>
      <c r="O351" s="642"/>
      <c r="P351" s="642"/>
      <c r="Q351" s="642"/>
      <c r="R351" s="642"/>
      <c r="S351" s="642"/>
      <c r="T351" s="642"/>
      <c r="U351" s="642"/>
    </row>
    <row r="352" spans="1:21" x14ac:dyDescent="0.2">
      <c r="A352" s="642"/>
      <c r="B352" s="642"/>
      <c r="C352" s="642"/>
      <c r="D352" s="642"/>
      <c r="E352" s="642"/>
      <c r="F352" s="642"/>
      <c r="G352" s="642"/>
      <c r="H352" s="642"/>
      <c r="I352" s="642"/>
      <c r="J352" s="642"/>
      <c r="K352" s="642"/>
      <c r="L352" s="642"/>
      <c r="M352" s="642"/>
      <c r="N352" s="642"/>
      <c r="O352" s="642"/>
      <c r="P352" s="642"/>
      <c r="Q352" s="642"/>
      <c r="R352" s="642"/>
      <c r="S352" s="642"/>
      <c r="T352" s="642"/>
      <c r="U352" s="642"/>
    </row>
    <row r="353" spans="1:21" x14ac:dyDescent="0.2">
      <c r="A353" s="642"/>
      <c r="B353" s="642"/>
      <c r="C353" s="642"/>
      <c r="D353" s="642"/>
      <c r="E353" s="642"/>
      <c r="F353" s="642"/>
      <c r="G353" s="642"/>
      <c r="H353" s="642"/>
      <c r="I353" s="642"/>
      <c r="J353" s="642"/>
      <c r="K353" s="642"/>
      <c r="L353" s="642"/>
      <c r="M353" s="642"/>
      <c r="N353" s="642"/>
      <c r="O353" s="642"/>
      <c r="P353" s="642"/>
      <c r="Q353" s="642"/>
      <c r="R353" s="642"/>
      <c r="S353" s="642"/>
      <c r="T353" s="642"/>
      <c r="U353" s="642"/>
    </row>
    <row r="354" spans="1:21" x14ac:dyDescent="0.2">
      <c r="A354" s="642"/>
      <c r="B354" s="642"/>
      <c r="C354" s="642"/>
      <c r="D354" s="642"/>
      <c r="E354" s="642"/>
      <c r="F354" s="642"/>
      <c r="G354" s="642"/>
      <c r="H354" s="642"/>
      <c r="I354" s="642"/>
      <c r="J354" s="642"/>
      <c r="K354" s="642"/>
      <c r="L354" s="642"/>
      <c r="M354" s="642"/>
      <c r="N354" s="642"/>
      <c r="O354" s="642"/>
      <c r="P354" s="642"/>
      <c r="Q354" s="642"/>
      <c r="R354" s="642"/>
      <c r="S354" s="642"/>
      <c r="T354" s="642"/>
      <c r="U354" s="642"/>
    </row>
    <row r="355" spans="1:21" x14ac:dyDescent="0.2">
      <c r="A355" s="642"/>
      <c r="B355" s="642"/>
      <c r="C355" s="642"/>
      <c r="D355" s="642"/>
      <c r="E355" s="642"/>
      <c r="F355" s="642"/>
      <c r="G355" s="642"/>
      <c r="H355" s="642"/>
      <c r="I355" s="642"/>
      <c r="J355" s="642"/>
      <c r="K355" s="642"/>
      <c r="L355" s="642"/>
      <c r="M355" s="642"/>
      <c r="N355" s="642"/>
      <c r="O355" s="642"/>
      <c r="P355" s="642"/>
      <c r="Q355" s="642"/>
      <c r="R355" s="642"/>
      <c r="S355" s="642"/>
      <c r="T355" s="642"/>
      <c r="U355" s="642"/>
    </row>
    <row r="356" spans="1:21" x14ac:dyDescent="0.2">
      <c r="A356" s="642"/>
      <c r="B356" s="642"/>
      <c r="C356" s="642"/>
      <c r="D356" s="642"/>
      <c r="E356" s="642"/>
      <c r="F356" s="642"/>
      <c r="G356" s="642"/>
      <c r="H356" s="642"/>
      <c r="I356" s="642"/>
      <c r="J356" s="642"/>
      <c r="K356" s="642"/>
      <c r="L356" s="642"/>
      <c r="M356" s="642"/>
      <c r="N356" s="642"/>
      <c r="O356" s="642"/>
      <c r="P356" s="642"/>
      <c r="Q356" s="642"/>
      <c r="R356" s="642"/>
      <c r="S356" s="642"/>
      <c r="T356" s="642"/>
      <c r="U356" s="642"/>
    </row>
    <row r="357" spans="1:21" x14ac:dyDescent="0.2">
      <c r="A357" s="642"/>
      <c r="B357" s="642"/>
      <c r="C357" s="642"/>
      <c r="D357" s="642"/>
      <c r="E357" s="642"/>
      <c r="F357" s="642"/>
      <c r="G357" s="642"/>
      <c r="H357" s="642"/>
      <c r="I357" s="642"/>
      <c r="J357" s="642"/>
      <c r="K357" s="642"/>
      <c r="L357" s="642"/>
      <c r="M357" s="642"/>
      <c r="N357" s="642"/>
      <c r="O357" s="642"/>
      <c r="P357" s="642"/>
      <c r="Q357" s="642"/>
      <c r="R357" s="642"/>
      <c r="S357" s="642"/>
      <c r="T357" s="642"/>
      <c r="U357" s="642"/>
    </row>
    <row r="358" spans="1:21" x14ac:dyDescent="0.2">
      <c r="A358" s="642"/>
      <c r="B358" s="642"/>
      <c r="C358" s="642"/>
      <c r="D358" s="642"/>
      <c r="E358" s="642"/>
      <c r="F358" s="642"/>
      <c r="G358" s="642"/>
      <c r="H358" s="642"/>
      <c r="I358" s="642"/>
      <c r="J358" s="642"/>
      <c r="K358" s="642"/>
      <c r="L358" s="642"/>
      <c r="M358" s="642"/>
      <c r="N358" s="642"/>
      <c r="O358" s="642"/>
      <c r="P358" s="642"/>
      <c r="Q358" s="642"/>
      <c r="R358" s="642"/>
      <c r="S358" s="642"/>
      <c r="T358" s="642"/>
      <c r="U358" s="642"/>
    </row>
    <row r="359" spans="1:21" x14ac:dyDescent="0.2">
      <c r="A359" s="642"/>
      <c r="B359" s="642"/>
      <c r="C359" s="642"/>
      <c r="D359" s="642"/>
      <c r="E359" s="642"/>
      <c r="F359" s="642"/>
      <c r="G359" s="642"/>
      <c r="H359" s="642"/>
      <c r="I359" s="642"/>
      <c r="J359" s="642"/>
      <c r="K359" s="642"/>
      <c r="L359" s="642"/>
      <c r="M359" s="642"/>
      <c r="N359" s="642"/>
      <c r="O359" s="642"/>
      <c r="P359" s="642"/>
      <c r="Q359" s="642"/>
      <c r="R359" s="642"/>
      <c r="S359" s="642"/>
      <c r="T359" s="642"/>
      <c r="U359" s="642"/>
    </row>
    <row r="360" spans="1:21" x14ac:dyDescent="0.2">
      <c r="A360" s="642"/>
      <c r="B360" s="642"/>
      <c r="C360" s="642"/>
      <c r="D360" s="642"/>
      <c r="E360" s="642"/>
      <c r="F360" s="642"/>
      <c r="G360" s="642"/>
      <c r="H360" s="642"/>
      <c r="I360" s="642"/>
      <c r="J360" s="642"/>
      <c r="K360" s="642"/>
      <c r="L360" s="642"/>
      <c r="M360" s="642"/>
      <c r="N360" s="642"/>
      <c r="O360" s="642"/>
      <c r="P360" s="642"/>
      <c r="Q360" s="642"/>
      <c r="R360" s="642"/>
      <c r="S360" s="642"/>
      <c r="T360" s="642"/>
      <c r="U360" s="642"/>
    </row>
    <row r="361" spans="1:21" x14ac:dyDescent="0.2">
      <c r="A361" s="642"/>
      <c r="B361" s="642"/>
      <c r="C361" s="642"/>
      <c r="D361" s="642"/>
      <c r="E361" s="642"/>
      <c r="F361" s="642"/>
      <c r="G361" s="642"/>
      <c r="H361" s="642"/>
      <c r="I361" s="642"/>
      <c r="J361" s="642"/>
      <c r="K361" s="642"/>
      <c r="L361" s="642"/>
      <c r="M361" s="642"/>
      <c r="N361" s="642"/>
      <c r="O361" s="642"/>
      <c r="P361" s="642"/>
      <c r="Q361" s="642"/>
      <c r="R361" s="642"/>
      <c r="S361" s="642"/>
      <c r="T361" s="642"/>
      <c r="U361" s="642"/>
    </row>
    <row r="362" spans="1:21" x14ac:dyDescent="0.2">
      <c r="A362" s="642"/>
      <c r="B362" s="642"/>
      <c r="C362" s="642"/>
      <c r="D362" s="642"/>
      <c r="E362" s="642"/>
      <c r="F362" s="642"/>
      <c r="G362" s="642"/>
      <c r="H362" s="642"/>
      <c r="I362" s="642"/>
      <c r="J362" s="642"/>
      <c r="K362" s="642"/>
      <c r="L362" s="642"/>
      <c r="M362" s="642"/>
      <c r="N362" s="642"/>
      <c r="O362" s="642"/>
      <c r="P362" s="642"/>
      <c r="Q362" s="642"/>
      <c r="R362" s="642"/>
      <c r="S362" s="642"/>
      <c r="T362" s="642"/>
      <c r="U362" s="642"/>
    </row>
    <row r="363" spans="1:21" x14ac:dyDescent="0.2">
      <c r="A363" s="642"/>
      <c r="B363" s="642"/>
      <c r="C363" s="642"/>
      <c r="D363" s="642"/>
      <c r="E363" s="642"/>
      <c r="F363" s="642"/>
      <c r="G363" s="642"/>
      <c r="H363" s="642"/>
      <c r="I363" s="642"/>
      <c r="J363" s="642"/>
      <c r="K363" s="642"/>
      <c r="L363" s="642"/>
      <c r="M363" s="642"/>
      <c r="N363" s="642"/>
      <c r="O363" s="642"/>
      <c r="P363" s="642"/>
      <c r="Q363" s="642"/>
      <c r="R363" s="642"/>
      <c r="S363" s="642"/>
      <c r="T363" s="642"/>
      <c r="U363" s="642"/>
    </row>
    <row r="364" spans="1:21" x14ac:dyDescent="0.2">
      <c r="A364" s="642"/>
      <c r="B364" s="642"/>
      <c r="C364" s="642"/>
      <c r="D364" s="642"/>
      <c r="E364" s="642"/>
      <c r="F364" s="642"/>
      <c r="G364" s="642"/>
      <c r="H364" s="642"/>
      <c r="I364" s="642"/>
      <c r="J364" s="642"/>
      <c r="K364" s="642"/>
      <c r="L364" s="642"/>
      <c r="M364" s="642"/>
      <c r="N364" s="642"/>
      <c r="O364" s="642"/>
      <c r="P364" s="642"/>
      <c r="Q364" s="642"/>
      <c r="R364" s="642"/>
      <c r="S364" s="642"/>
      <c r="T364" s="642"/>
      <c r="U364" s="642"/>
    </row>
    <row r="365" spans="1:21" x14ac:dyDescent="0.2">
      <c r="A365" s="642"/>
      <c r="B365" s="642"/>
      <c r="C365" s="642"/>
      <c r="D365" s="642"/>
      <c r="E365" s="642"/>
      <c r="F365" s="642"/>
      <c r="G365" s="642"/>
      <c r="H365" s="642"/>
      <c r="I365" s="642"/>
      <c r="J365" s="642"/>
      <c r="K365" s="642"/>
      <c r="L365" s="642"/>
      <c r="M365" s="642"/>
      <c r="N365" s="642"/>
      <c r="O365" s="642"/>
      <c r="P365" s="642"/>
      <c r="Q365" s="642"/>
      <c r="R365" s="642"/>
      <c r="S365" s="642"/>
      <c r="T365" s="642"/>
      <c r="U365" s="642"/>
    </row>
    <row r="366" spans="1:21" x14ac:dyDescent="0.2">
      <c r="A366" s="642"/>
      <c r="B366" s="642"/>
      <c r="C366" s="642"/>
      <c r="D366" s="642"/>
      <c r="E366" s="642"/>
      <c r="F366" s="642"/>
      <c r="G366" s="642"/>
      <c r="H366" s="642"/>
      <c r="I366" s="642"/>
      <c r="J366" s="642"/>
      <c r="K366" s="642"/>
      <c r="L366" s="642"/>
      <c r="M366" s="642"/>
      <c r="N366" s="642"/>
      <c r="O366" s="642"/>
      <c r="P366" s="642"/>
      <c r="Q366" s="642"/>
      <c r="R366" s="642"/>
      <c r="S366" s="642"/>
      <c r="T366" s="642"/>
      <c r="U366" s="642"/>
    </row>
  </sheetData>
  <mergeCells count="18">
    <mergeCell ref="A50:T50"/>
    <mergeCell ref="L7:T7"/>
    <mergeCell ref="A8:A9"/>
    <mergeCell ref="B8:B9"/>
    <mergeCell ref="C8:G8"/>
    <mergeCell ref="H8:H9"/>
    <mergeCell ref="P45:T45"/>
    <mergeCell ref="P46:T46"/>
    <mergeCell ref="P47:T47"/>
    <mergeCell ref="G1:I1"/>
    <mergeCell ref="A6:T6"/>
    <mergeCell ref="Q1:T1"/>
    <mergeCell ref="I8:L8"/>
    <mergeCell ref="A4:T5"/>
    <mergeCell ref="A2:T2"/>
    <mergeCell ref="A3:T3"/>
    <mergeCell ref="M8:R8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  <pageSetUpPr fitToPage="1"/>
  </sheetPr>
  <dimension ref="A1:AU118"/>
  <sheetViews>
    <sheetView zoomScale="86" zoomScaleNormal="86" zoomScaleSheetLayoutView="100" workbookViewId="0">
      <selection activeCell="I11" sqref="I11:R37"/>
    </sheetView>
  </sheetViews>
  <sheetFormatPr defaultRowHeight="12.75" x14ac:dyDescent="0.2"/>
  <cols>
    <col min="1" max="1" width="5.5703125" style="256" customWidth="1"/>
    <col min="2" max="2" width="19" style="256" customWidth="1"/>
    <col min="3" max="3" width="10.28515625" style="256" customWidth="1"/>
    <col min="4" max="4" width="8.42578125" style="256" customWidth="1"/>
    <col min="5" max="6" width="9.85546875" style="256" customWidth="1"/>
    <col min="7" max="7" width="10.85546875" style="256" customWidth="1"/>
    <col min="8" max="8" width="12.85546875" style="256" customWidth="1"/>
    <col min="9" max="9" width="9.85546875" style="242" customWidth="1"/>
    <col min="10" max="10" width="11" style="242" customWidth="1"/>
    <col min="11" max="11" width="8" style="242" customWidth="1"/>
    <col min="12" max="14" width="8.140625" style="242" customWidth="1"/>
    <col min="15" max="15" width="8.42578125" style="242" customWidth="1"/>
    <col min="16" max="18" width="8.140625" style="242" customWidth="1"/>
    <col min="19" max="19" width="10.42578125" style="242" customWidth="1"/>
    <col min="20" max="20" width="12.5703125" style="242" customWidth="1"/>
    <col min="21" max="47" width="9.140625" style="642"/>
    <col min="48" max="16384" width="9.140625" style="242"/>
  </cols>
  <sheetData>
    <row r="1" spans="1:47" ht="12.75" customHeight="1" x14ac:dyDescent="0.2">
      <c r="G1" s="1094"/>
      <c r="H1" s="1094"/>
      <c r="I1" s="1094"/>
      <c r="J1" s="256"/>
      <c r="K1" s="256"/>
      <c r="L1" s="256"/>
      <c r="M1" s="256"/>
      <c r="N1" s="256"/>
      <c r="O1" s="256"/>
      <c r="P1" s="256"/>
      <c r="Q1" s="256"/>
      <c r="R1" s="256"/>
      <c r="S1" s="1096" t="s">
        <v>530</v>
      </c>
      <c r="T1" s="1096"/>
    </row>
    <row r="2" spans="1:47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</row>
    <row r="3" spans="1:47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</row>
    <row r="4" spans="1:47" ht="12.75" customHeight="1" x14ac:dyDescent="0.2">
      <c r="A4" s="1100" t="s">
        <v>747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</row>
    <row r="5" spans="1:47" s="243" customFormat="1" ht="7.5" customHeight="1" x14ac:dyDescent="0.2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  <c r="AN5" s="643"/>
      <c r="AO5" s="643"/>
      <c r="AP5" s="643"/>
      <c r="AQ5" s="643"/>
      <c r="AR5" s="643"/>
      <c r="AS5" s="643"/>
      <c r="AT5" s="643"/>
      <c r="AU5" s="643"/>
    </row>
    <row r="6" spans="1:47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5"/>
      <c r="P6" s="1095"/>
      <c r="Q6" s="1095"/>
      <c r="R6" s="1095"/>
      <c r="S6" s="1095"/>
      <c r="T6" s="1095"/>
    </row>
    <row r="7" spans="1:47" ht="15" x14ac:dyDescent="0.3">
      <c r="A7" s="197" t="s">
        <v>917</v>
      </c>
      <c r="B7" s="197" t="s">
        <v>916</v>
      </c>
      <c r="H7" s="257"/>
      <c r="I7" s="256"/>
      <c r="J7" s="256"/>
      <c r="K7" s="256"/>
      <c r="L7" s="1106"/>
      <c r="M7" s="1106"/>
      <c r="N7" s="1106"/>
      <c r="O7" s="1106"/>
      <c r="P7" s="1106"/>
      <c r="Q7" s="1106"/>
      <c r="R7" s="1106"/>
      <c r="S7" s="1106"/>
      <c r="T7" s="1106"/>
    </row>
    <row r="8" spans="1:47" ht="52.5" customHeight="1" x14ac:dyDescent="0.2">
      <c r="A8" s="1103" t="s">
        <v>2</v>
      </c>
      <c r="B8" s="1103" t="s">
        <v>3</v>
      </c>
      <c r="C8" s="1097" t="s">
        <v>484</v>
      </c>
      <c r="D8" s="1098"/>
      <c r="E8" s="1098"/>
      <c r="F8" s="1098"/>
      <c r="G8" s="1099"/>
      <c r="H8" s="1107" t="s">
        <v>83</v>
      </c>
      <c r="I8" s="1097" t="s">
        <v>84</v>
      </c>
      <c r="J8" s="1098"/>
      <c r="K8" s="1098"/>
      <c r="L8" s="1099"/>
      <c r="M8" s="1103" t="s">
        <v>646</v>
      </c>
      <c r="N8" s="1103"/>
      <c r="O8" s="1103"/>
      <c r="P8" s="1103"/>
      <c r="Q8" s="1103"/>
      <c r="R8" s="1103"/>
      <c r="S8" s="1104" t="s">
        <v>701</v>
      </c>
      <c r="T8" s="1104"/>
    </row>
    <row r="9" spans="1:47" ht="44.45" customHeight="1" x14ac:dyDescent="0.2">
      <c r="A9" s="1103"/>
      <c r="B9" s="1103"/>
      <c r="C9" s="258" t="s">
        <v>5</v>
      </c>
      <c r="D9" s="258" t="s">
        <v>6</v>
      </c>
      <c r="E9" s="258" t="s">
        <v>354</v>
      </c>
      <c r="F9" s="259" t="s">
        <v>98</v>
      </c>
      <c r="G9" s="259" t="s">
        <v>224</v>
      </c>
      <c r="H9" s="1108"/>
      <c r="I9" s="258" t="s">
        <v>88</v>
      </c>
      <c r="J9" s="258" t="s">
        <v>20</v>
      </c>
      <c r="K9" s="258" t="s">
        <v>40</v>
      </c>
      <c r="L9" s="258" t="s">
        <v>680</v>
      </c>
      <c r="M9" s="258" t="s">
        <v>18</v>
      </c>
      <c r="N9" s="258" t="s">
        <v>647</v>
      </c>
      <c r="O9" s="258" t="s">
        <v>648</v>
      </c>
      <c r="P9" s="258" t="s">
        <v>649</v>
      </c>
      <c r="Q9" s="258" t="s">
        <v>650</v>
      </c>
      <c r="R9" s="258" t="s">
        <v>651</v>
      </c>
      <c r="S9" s="258" t="s">
        <v>706</v>
      </c>
      <c r="T9" s="258" t="s">
        <v>704</v>
      </c>
    </row>
    <row r="10" spans="1:47" s="307" customFormat="1" x14ac:dyDescent="0.2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305">
        <v>17</v>
      </c>
      <c r="R10" s="305">
        <v>18</v>
      </c>
      <c r="S10" s="305">
        <v>19</v>
      </c>
      <c r="T10" s="305">
        <v>20</v>
      </c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</row>
    <row r="11" spans="1:47" s="307" customFormat="1" ht="15" x14ac:dyDescent="0.2">
      <c r="A11" s="260">
        <v>1</v>
      </c>
      <c r="B11" s="419" t="s">
        <v>890</v>
      </c>
      <c r="C11" s="542">
        <v>32306</v>
      </c>
      <c r="D11" s="542">
        <v>292</v>
      </c>
      <c r="E11" s="491">
        <v>0</v>
      </c>
      <c r="F11" s="550">
        <v>36</v>
      </c>
      <c r="G11" s="541">
        <f>SUM(C11:F11)</f>
        <v>32634</v>
      </c>
      <c r="H11" s="429">
        <v>246</v>
      </c>
      <c r="I11" s="548">
        <f>ROUND(G11*H11*150/1000000,2)</f>
        <v>1204.19</v>
      </c>
      <c r="J11" s="548">
        <f>I11</f>
        <v>1204.19</v>
      </c>
      <c r="K11" s="545"/>
      <c r="L11" s="545"/>
      <c r="M11" s="545"/>
      <c r="N11" s="545"/>
      <c r="O11" s="545"/>
      <c r="P11" s="545"/>
      <c r="Q11" s="545"/>
      <c r="R11" s="545"/>
      <c r="S11" s="549">
        <f>ROUND(I11*1315/100000,2)</f>
        <v>15.84</v>
      </c>
      <c r="T11" s="545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49"/>
      <c r="AU11" s="649"/>
    </row>
    <row r="12" spans="1:47" s="307" customFormat="1" ht="15" x14ac:dyDescent="0.2">
      <c r="A12" s="260">
        <v>2</v>
      </c>
      <c r="B12" s="419" t="s">
        <v>891</v>
      </c>
      <c r="C12" s="542">
        <v>70795</v>
      </c>
      <c r="D12" s="542">
        <v>244</v>
      </c>
      <c r="E12" s="491">
        <v>0</v>
      </c>
      <c r="F12" s="550">
        <v>0</v>
      </c>
      <c r="G12" s="541">
        <f t="shared" ref="G12:G37" si="0">SUM(C12:F12)</f>
        <v>71039</v>
      </c>
      <c r="H12" s="429">
        <v>246</v>
      </c>
      <c r="I12" s="548">
        <f t="shared" ref="I12:I37" si="1">ROUND(G12*H12*150/1000000,2)</f>
        <v>2621.34</v>
      </c>
      <c r="J12" s="548">
        <f t="shared" ref="J12:J38" si="2">I12</f>
        <v>2621.34</v>
      </c>
      <c r="K12" s="545"/>
      <c r="L12" s="545"/>
      <c r="M12" s="545"/>
      <c r="N12" s="545"/>
      <c r="O12" s="545"/>
      <c r="P12" s="545"/>
      <c r="Q12" s="545"/>
      <c r="R12" s="545"/>
      <c r="S12" s="549">
        <f t="shared" ref="S12:S38" si="3">ROUND(I12*1315/100000,2)</f>
        <v>34.47</v>
      </c>
      <c r="T12" s="545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649"/>
      <c r="AT12" s="649"/>
      <c r="AU12" s="649"/>
    </row>
    <row r="13" spans="1:47" s="307" customFormat="1" ht="15" x14ac:dyDescent="0.2">
      <c r="A13" s="260">
        <v>3</v>
      </c>
      <c r="B13" s="419" t="s">
        <v>892</v>
      </c>
      <c r="C13" s="542">
        <v>37002</v>
      </c>
      <c r="D13" s="542">
        <v>1865</v>
      </c>
      <c r="E13" s="491">
        <v>0</v>
      </c>
      <c r="F13" s="550">
        <v>631</v>
      </c>
      <c r="G13" s="541">
        <f t="shared" si="0"/>
        <v>39498</v>
      </c>
      <c r="H13" s="429">
        <v>246</v>
      </c>
      <c r="I13" s="548">
        <f t="shared" si="1"/>
        <v>1457.48</v>
      </c>
      <c r="J13" s="548">
        <f t="shared" si="2"/>
        <v>1457.48</v>
      </c>
      <c r="K13" s="545"/>
      <c r="L13" s="545"/>
      <c r="M13" s="545"/>
      <c r="N13" s="545"/>
      <c r="O13" s="545"/>
      <c r="P13" s="545"/>
      <c r="Q13" s="545"/>
      <c r="R13" s="545"/>
      <c r="S13" s="549">
        <f t="shared" si="3"/>
        <v>19.170000000000002</v>
      </c>
      <c r="T13" s="545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</row>
    <row r="14" spans="1:47" s="307" customFormat="1" ht="15" x14ac:dyDescent="0.2">
      <c r="A14" s="260">
        <v>4</v>
      </c>
      <c r="B14" s="419" t="s">
        <v>893</v>
      </c>
      <c r="C14" s="542">
        <v>34993</v>
      </c>
      <c r="D14" s="542">
        <v>933</v>
      </c>
      <c r="E14" s="491">
        <v>0</v>
      </c>
      <c r="F14" s="550">
        <v>29</v>
      </c>
      <c r="G14" s="541">
        <f t="shared" si="0"/>
        <v>35955</v>
      </c>
      <c r="H14" s="429">
        <v>246</v>
      </c>
      <c r="I14" s="548">
        <f t="shared" si="1"/>
        <v>1326.74</v>
      </c>
      <c r="J14" s="548">
        <f t="shared" si="2"/>
        <v>1326.74</v>
      </c>
      <c r="K14" s="545"/>
      <c r="L14" s="545"/>
      <c r="M14" s="545"/>
      <c r="N14" s="545"/>
      <c r="O14" s="545"/>
      <c r="P14" s="545"/>
      <c r="Q14" s="545"/>
      <c r="R14" s="545"/>
      <c r="S14" s="549">
        <f t="shared" si="3"/>
        <v>17.45</v>
      </c>
      <c r="T14" s="545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</row>
    <row r="15" spans="1:47" s="307" customFormat="1" ht="15" x14ac:dyDescent="0.2">
      <c r="A15" s="260">
        <v>5</v>
      </c>
      <c r="B15" s="419" t="s">
        <v>894</v>
      </c>
      <c r="C15" s="542">
        <v>46606</v>
      </c>
      <c r="D15" s="542">
        <v>0</v>
      </c>
      <c r="E15" s="491">
        <v>0</v>
      </c>
      <c r="F15" s="550">
        <v>39</v>
      </c>
      <c r="G15" s="541">
        <f t="shared" si="0"/>
        <v>46645</v>
      </c>
      <c r="H15" s="429">
        <v>246</v>
      </c>
      <c r="I15" s="548">
        <f t="shared" si="1"/>
        <v>1721.2</v>
      </c>
      <c r="J15" s="548">
        <f t="shared" si="2"/>
        <v>1721.2</v>
      </c>
      <c r="K15" s="545"/>
      <c r="L15" s="545"/>
      <c r="M15" s="545"/>
      <c r="N15" s="545"/>
      <c r="O15" s="545"/>
      <c r="P15" s="545"/>
      <c r="Q15" s="545"/>
      <c r="R15" s="545"/>
      <c r="S15" s="549">
        <f t="shared" si="3"/>
        <v>22.63</v>
      </c>
      <c r="T15" s="545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</row>
    <row r="16" spans="1:47" s="307" customFormat="1" ht="15" x14ac:dyDescent="0.2">
      <c r="A16" s="260">
        <v>6</v>
      </c>
      <c r="B16" s="419" t="s">
        <v>895</v>
      </c>
      <c r="C16" s="542">
        <v>10849</v>
      </c>
      <c r="D16" s="542">
        <v>52</v>
      </c>
      <c r="E16" s="491">
        <v>0</v>
      </c>
      <c r="F16" s="550">
        <v>0</v>
      </c>
      <c r="G16" s="541">
        <f t="shared" si="0"/>
        <v>10901</v>
      </c>
      <c r="H16" s="429">
        <v>246</v>
      </c>
      <c r="I16" s="548">
        <f t="shared" si="1"/>
        <v>402.25</v>
      </c>
      <c r="J16" s="548">
        <f t="shared" si="2"/>
        <v>402.25</v>
      </c>
      <c r="K16" s="545"/>
      <c r="L16" s="545"/>
      <c r="M16" s="545"/>
      <c r="N16" s="545"/>
      <c r="O16" s="545"/>
      <c r="P16" s="545"/>
      <c r="Q16" s="545"/>
      <c r="R16" s="545"/>
      <c r="S16" s="549">
        <f t="shared" si="3"/>
        <v>5.29</v>
      </c>
      <c r="T16" s="545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</row>
    <row r="17" spans="1:47" s="307" customFormat="1" ht="15" x14ac:dyDescent="0.2">
      <c r="A17" s="260">
        <v>7</v>
      </c>
      <c r="B17" s="419" t="s">
        <v>896</v>
      </c>
      <c r="C17" s="542">
        <v>87214</v>
      </c>
      <c r="D17" s="542">
        <v>3101</v>
      </c>
      <c r="E17" s="491">
        <v>0</v>
      </c>
      <c r="F17" s="550">
        <v>66</v>
      </c>
      <c r="G17" s="541">
        <f t="shared" si="0"/>
        <v>90381</v>
      </c>
      <c r="H17" s="429">
        <v>246</v>
      </c>
      <c r="I17" s="548">
        <f t="shared" si="1"/>
        <v>3335.06</v>
      </c>
      <c r="J17" s="548">
        <f t="shared" si="2"/>
        <v>3335.06</v>
      </c>
      <c r="K17" s="545"/>
      <c r="L17" s="545"/>
      <c r="M17" s="545"/>
      <c r="N17" s="545"/>
      <c r="O17" s="545"/>
      <c r="P17" s="545"/>
      <c r="Q17" s="545"/>
      <c r="R17" s="545"/>
      <c r="S17" s="549">
        <f t="shared" si="3"/>
        <v>43.86</v>
      </c>
      <c r="T17" s="545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</row>
    <row r="18" spans="1:47" s="307" customFormat="1" ht="15" x14ac:dyDescent="0.2">
      <c r="A18" s="260">
        <v>8</v>
      </c>
      <c r="B18" s="419" t="s">
        <v>897</v>
      </c>
      <c r="C18" s="542">
        <v>9844</v>
      </c>
      <c r="D18" s="542">
        <v>891</v>
      </c>
      <c r="E18" s="491">
        <v>0</v>
      </c>
      <c r="F18" s="550">
        <v>8</v>
      </c>
      <c r="G18" s="541">
        <f t="shared" si="0"/>
        <v>10743</v>
      </c>
      <c r="H18" s="429">
        <v>246</v>
      </c>
      <c r="I18" s="548">
        <f t="shared" si="1"/>
        <v>396.42</v>
      </c>
      <c r="J18" s="548">
        <f t="shared" si="2"/>
        <v>396.42</v>
      </c>
      <c r="K18" s="545"/>
      <c r="L18" s="545"/>
      <c r="M18" s="545"/>
      <c r="N18" s="545"/>
      <c r="O18" s="545"/>
      <c r="P18" s="545"/>
      <c r="Q18" s="545"/>
      <c r="R18" s="545"/>
      <c r="S18" s="549">
        <f t="shared" si="3"/>
        <v>5.21</v>
      </c>
      <c r="T18" s="545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</row>
    <row r="19" spans="1:47" s="307" customFormat="1" ht="15" x14ac:dyDescent="0.2">
      <c r="A19" s="260">
        <v>9</v>
      </c>
      <c r="B19" s="419" t="s">
        <v>898</v>
      </c>
      <c r="C19" s="542">
        <v>31060</v>
      </c>
      <c r="D19" s="542">
        <v>275</v>
      </c>
      <c r="E19" s="491">
        <v>0</v>
      </c>
      <c r="F19" s="550">
        <v>23</v>
      </c>
      <c r="G19" s="541">
        <f t="shared" si="0"/>
        <v>31358</v>
      </c>
      <c r="H19" s="429">
        <v>246</v>
      </c>
      <c r="I19" s="548">
        <f t="shared" si="1"/>
        <v>1157.1099999999999</v>
      </c>
      <c r="J19" s="548">
        <f t="shared" si="2"/>
        <v>1157.1099999999999</v>
      </c>
      <c r="K19" s="545"/>
      <c r="L19" s="545"/>
      <c r="M19" s="545"/>
      <c r="N19" s="545"/>
      <c r="O19" s="545"/>
      <c r="P19" s="545"/>
      <c r="Q19" s="545"/>
      <c r="R19" s="545"/>
      <c r="S19" s="549">
        <f t="shared" si="3"/>
        <v>15.22</v>
      </c>
      <c r="T19" s="545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</row>
    <row r="20" spans="1:47" s="307" customFormat="1" ht="15" x14ac:dyDescent="0.2">
      <c r="A20" s="260">
        <v>10</v>
      </c>
      <c r="B20" s="419" t="s">
        <v>899</v>
      </c>
      <c r="C20" s="542">
        <v>44532</v>
      </c>
      <c r="D20" s="542">
        <v>642</v>
      </c>
      <c r="E20" s="491">
        <v>0</v>
      </c>
      <c r="F20" s="550">
        <v>372</v>
      </c>
      <c r="G20" s="541">
        <f t="shared" si="0"/>
        <v>45546</v>
      </c>
      <c r="H20" s="429">
        <v>246</v>
      </c>
      <c r="I20" s="548">
        <f t="shared" si="1"/>
        <v>1680.65</v>
      </c>
      <c r="J20" s="548">
        <f t="shared" si="2"/>
        <v>1680.65</v>
      </c>
      <c r="K20" s="545"/>
      <c r="L20" s="545"/>
      <c r="M20" s="545"/>
      <c r="N20" s="545"/>
      <c r="O20" s="545"/>
      <c r="P20" s="545"/>
      <c r="Q20" s="545"/>
      <c r="R20" s="545"/>
      <c r="S20" s="549">
        <f t="shared" si="3"/>
        <v>22.1</v>
      </c>
      <c r="T20" s="545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</row>
    <row r="21" spans="1:47" s="307" customFormat="1" ht="15" x14ac:dyDescent="0.2">
      <c r="A21" s="260">
        <v>11</v>
      </c>
      <c r="B21" s="419" t="s">
        <v>900</v>
      </c>
      <c r="C21" s="542">
        <v>29837</v>
      </c>
      <c r="D21" s="542">
        <v>0</v>
      </c>
      <c r="E21" s="491">
        <v>0</v>
      </c>
      <c r="F21" s="550">
        <v>0</v>
      </c>
      <c r="G21" s="541">
        <f t="shared" si="0"/>
        <v>29837</v>
      </c>
      <c r="H21" s="429">
        <v>246</v>
      </c>
      <c r="I21" s="548">
        <f t="shared" si="1"/>
        <v>1100.99</v>
      </c>
      <c r="J21" s="548">
        <f t="shared" si="2"/>
        <v>1100.99</v>
      </c>
      <c r="K21" s="545"/>
      <c r="L21" s="545"/>
      <c r="M21" s="545"/>
      <c r="N21" s="545"/>
      <c r="O21" s="545"/>
      <c r="P21" s="545"/>
      <c r="Q21" s="545"/>
      <c r="R21" s="545"/>
      <c r="S21" s="549">
        <f t="shared" si="3"/>
        <v>14.48</v>
      </c>
      <c r="T21" s="545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</row>
    <row r="22" spans="1:47" ht="15" x14ac:dyDescent="0.2">
      <c r="A22" s="260">
        <v>12</v>
      </c>
      <c r="B22" s="419" t="s">
        <v>941</v>
      </c>
      <c r="C22" s="436">
        <v>65441</v>
      </c>
      <c r="D22" s="436">
        <v>1029</v>
      </c>
      <c r="E22" s="507">
        <v>0</v>
      </c>
      <c r="F22" s="551">
        <v>0</v>
      </c>
      <c r="G22" s="541">
        <f t="shared" si="0"/>
        <v>66470</v>
      </c>
      <c r="H22" s="429">
        <v>246</v>
      </c>
      <c r="I22" s="548">
        <f t="shared" si="1"/>
        <v>2452.7399999999998</v>
      </c>
      <c r="J22" s="548">
        <f t="shared" si="2"/>
        <v>2452.7399999999998</v>
      </c>
      <c r="K22" s="545"/>
      <c r="L22" s="545"/>
      <c r="M22" s="545"/>
      <c r="N22" s="545"/>
      <c r="O22" s="545"/>
      <c r="P22" s="545"/>
      <c r="Q22" s="545"/>
      <c r="R22" s="545"/>
      <c r="S22" s="549">
        <f t="shared" si="3"/>
        <v>32.25</v>
      </c>
      <c r="T22" s="545"/>
    </row>
    <row r="23" spans="1:47" ht="15" x14ac:dyDescent="0.2">
      <c r="A23" s="260">
        <v>13</v>
      </c>
      <c r="B23" s="419" t="s">
        <v>902</v>
      </c>
      <c r="C23" s="436">
        <v>29768</v>
      </c>
      <c r="D23" s="436">
        <v>7616</v>
      </c>
      <c r="E23" s="491">
        <v>0</v>
      </c>
      <c r="F23" s="551">
        <v>254</v>
      </c>
      <c r="G23" s="541">
        <f t="shared" si="0"/>
        <v>37638</v>
      </c>
      <c r="H23" s="429">
        <v>246</v>
      </c>
      <c r="I23" s="548">
        <f t="shared" si="1"/>
        <v>1388.84</v>
      </c>
      <c r="J23" s="548">
        <f t="shared" si="2"/>
        <v>1388.84</v>
      </c>
      <c r="K23" s="545"/>
      <c r="L23" s="545"/>
      <c r="M23" s="545"/>
      <c r="N23" s="545"/>
      <c r="O23" s="545"/>
      <c r="P23" s="545"/>
      <c r="Q23" s="545"/>
      <c r="R23" s="545"/>
      <c r="S23" s="549">
        <f t="shared" si="3"/>
        <v>18.260000000000002</v>
      </c>
      <c r="T23" s="545"/>
    </row>
    <row r="24" spans="1:47" ht="15" x14ac:dyDescent="0.2">
      <c r="A24" s="260">
        <v>14</v>
      </c>
      <c r="B24" s="419" t="s">
        <v>903</v>
      </c>
      <c r="C24" s="436">
        <v>32866</v>
      </c>
      <c r="D24" s="436">
        <v>31</v>
      </c>
      <c r="E24" s="491">
        <v>0</v>
      </c>
      <c r="F24" s="551">
        <v>54</v>
      </c>
      <c r="G24" s="541">
        <f t="shared" si="0"/>
        <v>32951</v>
      </c>
      <c r="H24" s="429">
        <v>246</v>
      </c>
      <c r="I24" s="548">
        <f t="shared" si="1"/>
        <v>1215.8900000000001</v>
      </c>
      <c r="J24" s="548">
        <f t="shared" si="2"/>
        <v>1215.8900000000001</v>
      </c>
      <c r="K24" s="545"/>
      <c r="L24" s="545"/>
      <c r="M24" s="545"/>
      <c r="N24" s="545"/>
      <c r="O24" s="545"/>
      <c r="P24" s="545"/>
      <c r="Q24" s="545"/>
      <c r="R24" s="545"/>
      <c r="S24" s="549">
        <f t="shared" si="3"/>
        <v>15.99</v>
      </c>
      <c r="T24" s="545"/>
    </row>
    <row r="25" spans="1:47" ht="15" x14ac:dyDescent="0.2">
      <c r="A25" s="260">
        <v>15</v>
      </c>
      <c r="B25" s="419" t="s">
        <v>904</v>
      </c>
      <c r="C25" s="436">
        <v>44733</v>
      </c>
      <c r="D25" s="436">
        <v>223</v>
      </c>
      <c r="E25" s="491">
        <v>0</v>
      </c>
      <c r="F25" s="551">
        <v>54</v>
      </c>
      <c r="G25" s="541">
        <f t="shared" si="0"/>
        <v>45010</v>
      </c>
      <c r="H25" s="429">
        <v>246</v>
      </c>
      <c r="I25" s="548">
        <f t="shared" si="1"/>
        <v>1660.87</v>
      </c>
      <c r="J25" s="548">
        <f t="shared" si="2"/>
        <v>1660.87</v>
      </c>
      <c r="K25" s="545"/>
      <c r="L25" s="545"/>
      <c r="M25" s="545"/>
      <c r="N25" s="545"/>
      <c r="O25" s="545"/>
      <c r="P25" s="545"/>
      <c r="Q25" s="545"/>
      <c r="R25" s="545"/>
      <c r="S25" s="549">
        <f t="shared" si="3"/>
        <v>21.84</v>
      </c>
      <c r="T25" s="545"/>
    </row>
    <row r="26" spans="1:47" ht="15" x14ac:dyDescent="0.2">
      <c r="A26" s="260">
        <v>16</v>
      </c>
      <c r="B26" s="419" t="s">
        <v>905</v>
      </c>
      <c r="C26" s="436">
        <v>30574</v>
      </c>
      <c r="D26" s="436">
        <v>0</v>
      </c>
      <c r="E26" s="491">
        <v>0</v>
      </c>
      <c r="F26" s="551">
        <v>24</v>
      </c>
      <c r="G26" s="541">
        <f t="shared" si="0"/>
        <v>30598</v>
      </c>
      <c r="H26" s="429">
        <v>246</v>
      </c>
      <c r="I26" s="548">
        <f t="shared" si="1"/>
        <v>1129.07</v>
      </c>
      <c r="J26" s="548">
        <f t="shared" si="2"/>
        <v>1129.07</v>
      </c>
      <c r="K26" s="545"/>
      <c r="L26" s="545"/>
      <c r="M26" s="545"/>
      <c r="N26" s="545"/>
      <c r="O26" s="545"/>
      <c r="P26" s="545"/>
      <c r="Q26" s="545"/>
      <c r="R26" s="545"/>
      <c r="S26" s="549">
        <f t="shared" si="3"/>
        <v>14.85</v>
      </c>
      <c r="T26" s="545"/>
    </row>
    <row r="27" spans="1:47" ht="15" x14ac:dyDescent="0.2">
      <c r="A27" s="260">
        <v>17</v>
      </c>
      <c r="B27" s="419" t="s">
        <v>906</v>
      </c>
      <c r="C27" s="436">
        <v>45527</v>
      </c>
      <c r="D27" s="436">
        <v>532</v>
      </c>
      <c r="E27" s="491">
        <v>0</v>
      </c>
      <c r="F27" s="551">
        <v>0</v>
      </c>
      <c r="G27" s="541">
        <f t="shared" si="0"/>
        <v>46059</v>
      </c>
      <c r="H27" s="429">
        <v>246</v>
      </c>
      <c r="I27" s="548">
        <f t="shared" si="1"/>
        <v>1699.58</v>
      </c>
      <c r="J27" s="548">
        <f t="shared" si="2"/>
        <v>1699.58</v>
      </c>
      <c r="K27" s="545"/>
      <c r="L27" s="545"/>
      <c r="M27" s="545"/>
      <c r="N27" s="545"/>
      <c r="O27" s="545"/>
      <c r="P27" s="545"/>
      <c r="Q27" s="545"/>
      <c r="R27" s="545"/>
      <c r="S27" s="549">
        <f t="shared" si="3"/>
        <v>22.35</v>
      </c>
      <c r="T27" s="545"/>
    </row>
    <row r="28" spans="1:47" ht="15" x14ac:dyDescent="0.2">
      <c r="A28" s="260">
        <v>18</v>
      </c>
      <c r="B28" s="419" t="s">
        <v>907</v>
      </c>
      <c r="C28" s="436">
        <v>25994</v>
      </c>
      <c r="D28" s="436">
        <v>168</v>
      </c>
      <c r="E28" s="491">
        <v>0</v>
      </c>
      <c r="F28" s="551">
        <v>57</v>
      </c>
      <c r="G28" s="541">
        <f t="shared" si="0"/>
        <v>26219</v>
      </c>
      <c r="H28" s="429">
        <v>246</v>
      </c>
      <c r="I28" s="548">
        <f t="shared" si="1"/>
        <v>967.48</v>
      </c>
      <c r="J28" s="548">
        <f t="shared" si="2"/>
        <v>967.48</v>
      </c>
      <c r="K28" s="545"/>
      <c r="L28" s="545"/>
      <c r="M28" s="545"/>
      <c r="N28" s="545"/>
      <c r="O28" s="545"/>
      <c r="P28" s="545"/>
      <c r="Q28" s="545"/>
      <c r="R28" s="545"/>
      <c r="S28" s="549">
        <f t="shared" si="3"/>
        <v>12.72</v>
      </c>
      <c r="T28" s="545"/>
    </row>
    <row r="29" spans="1:47" ht="15" x14ac:dyDescent="0.2">
      <c r="A29" s="260">
        <v>19</v>
      </c>
      <c r="B29" s="419" t="s">
        <v>908</v>
      </c>
      <c r="C29" s="436">
        <v>50610</v>
      </c>
      <c r="D29" s="436">
        <v>1174</v>
      </c>
      <c r="E29" s="491">
        <v>0</v>
      </c>
      <c r="F29" s="551">
        <v>36</v>
      </c>
      <c r="G29" s="541">
        <f t="shared" si="0"/>
        <v>51820</v>
      </c>
      <c r="H29" s="429">
        <v>246</v>
      </c>
      <c r="I29" s="548">
        <f t="shared" si="1"/>
        <v>1912.16</v>
      </c>
      <c r="J29" s="548">
        <f t="shared" si="2"/>
        <v>1912.16</v>
      </c>
      <c r="K29" s="545"/>
      <c r="L29" s="545"/>
      <c r="M29" s="545"/>
      <c r="N29" s="545"/>
      <c r="O29" s="545"/>
      <c r="P29" s="545"/>
      <c r="Q29" s="545"/>
      <c r="R29" s="545"/>
      <c r="S29" s="549">
        <f t="shared" si="3"/>
        <v>25.14</v>
      </c>
      <c r="T29" s="545"/>
    </row>
    <row r="30" spans="1:47" ht="15" x14ac:dyDescent="0.2">
      <c r="A30" s="260">
        <v>20</v>
      </c>
      <c r="B30" s="419" t="s">
        <v>909</v>
      </c>
      <c r="C30" s="436">
        <v>37014</v>
      </c>
      <c r="D30" s="436">
        <v>171</v>
      </c>
      <c r="E30" s="491">
        <v>0</v>
      </c>
      <c r="F30" s="551">
        <v>0</v>
      </c>
      <c r="G30" s="541">
        <f t="shared" si="0"/>
        <v>37185</v>
      </c>
      <c r="H30" s="429">
        <v>246</v>
      </c>
      <c r="I30" s="548">
        <f t="shared" si="1"/>
        <v>1372.13</v>
      </c>
      <c r="J30" s="548">
        <f t="shared" si="2"/>
        <v>1372.13</v>
      </c>
      <c r="K30" s="545"/>
      <c r="L30" s="545"/>
      <c r="M30" s="545"/>
      <c r="N30" s="545"/>
      <c r="O30" s="545"/>
      <c r="P30" s="545"/>
      <c r="Q30" s="545"/>
      <c r="R30" s="545"/>
      <c r="S30" s="549">
        <f t="shared" si="3"/>
        <v>18.04</v>
      </c>
      <c r="T30" s="545"/>
    </row>
    <row r="31" spans="1:47" ht="15" x14ac:dyDescent="0.2">
      <c r="A31" s="260">
        <v>21</v>
      </c>
      <c r="B31" s="419" t="s">
        <v>910</v>
      </c>
      <c r="C31" s="436">
        <v>6529</v>
      </c>
      <c r="D31" s="436">
        <v>591</v>
      </c>
      <c r="E31" s="491">
        <v>0</v>
      </c>
      <c r="F31" s="551">
        <v>0</v>
      </c>
      <c r="G31" s="541">
        <f t="shared" si="0"/>
        <v>7120</v>
      </c>
      <c r="H31" s="429">
        <v>246</v>
      </c>
      <c r="I31" s="548">
        <f t="shared" si="1"/>
        <v>262.73</v>
      </c>
      <c r="J31" s="548">
        <f t="shared" si="2"/>
        <v>262.73</v>
      </c>
      <c r="K31" s="545"/>
      <c r="L31" s="545"/>
      <c r="M31" s="545"/>
      <c r="N31" s="545"/>
      <c r="O31" s="545"/>
      <c r="P31" s="545"/>
      <c r="Q31" s="545"/>
      <c r="R31" s="545"/>
      <c r="S31" s="549">
        <f t="shared" si="3"/>
        <v>3.45</v>
      </c>
      <c r="T31" s="545"/>
    </row>
    <row r="32" spans="1:47" ht="15" x14ac:dyDescent="0.2">
      <c r="A32" s="260">
        <v>22</v>
      </c>
      <c r="B32" s="419" t="s">
        <v>911</v>
      </c>
      <c r="C32" s="436">
        <v>54503</v>
      </c>
      <c r="D32" s="436">
        <v>1287</v>
      </c>
      <c r="E32" s="491">
        <v>0</v>
      </c>
      <c r="F32" s="551">
        <v>92</v>
      </c>
      <c r="G32" s="541">
        <f t="shared" si="0"/>
        <v>55882</v>
      </c>
      <c r="H32" s="429">
        <v>246</v>
      </c>
      <c r="I32" s="548">
        <f t="shared" si="1"/>
        <v>2062.0500000000002</v>
      </c>
      <c r="J32" s="548">
        <f t="shared" si="2"/>
        <v>2062.0500000000002</v>
      </c>
      <c r="K32" s="545"/>
      <c r="L32" s="545"/>
      <c r="M32" s="545"/>
      <c r="N32" s="545"/>
      <c r="O32" s="545"/>
      <c r="P32" s="545"/>
      <c r="Q32" s="545"/>
      <c r="R32" s="545"/>
      <c r="S32" s="549">
        <f t="shared" si="3"/>
        <v>27.12</v>
      </c>
      <c r="T32" s="545"/>
    </row>
    <row r="33" spans="1:20" ht="15" x14ac:dyDescent="0.2">
      <c r="A33" s="260">
        <v>23</v>
      </c>
      <c r="B33" s="419" t="s">
        <v>912</v>
      </c>
      <c r="C33" s="436">
        <v>67823</v>
      </c>
      <c r="D33" s="436">
        <v>2324</v>
      </c>
      <c r="E33" s="491">
        <v>0</v>
      </c>
      <c r="F33" s="551">
        <v>246</v>
      </c>
      <c r="G33" s="541">
        <f t="shared" si="0"/>
        <v>70393</v>
      </c>
      <c r="H33" s="429">
        <v>246</v>
      </c>
      <c r="I33" s="548">
        <f t="shared" si="1"/>
        <v>2597.5</v>
      </c>
      <c r="J33" s="548">
        <f t="shared" si="2"/>
        <v>2597.5</v>
      </c>
      <c r="K33" s="545"/>
      <c r="L33" s="545"/>
      <c r="M33" s="545"/>
      <c r="N33" s="545"/>
      <c r="O33" s="545"/>
      <c r="P33" s="545"/>
      <c r="Q33" s="545"/>
      <c r="R33" s="545"/>
      <c r="S33" s="549">
        <f t="shared" si="3"/>
        <v>34.159999999999997</v>
      </c>
      <c r="T33" s="545"/>
    </row>
    <row r="34" spans="1:20" ht="15" x14ac:dyDescent="0.2">
      <c r="A34" s="260">
        <v>24</v>
      </c>
      <c r="B34" s="419" t="s">
        <v>913</v>
      </c>
      <c r="C34" s="436">
        <v>70322</v>
      </c>
      <c r="D34" s="436">
        <v>329</v>
      </c>
      <c r="E34" s="491">
        <v>0</v>
      </c>
      <c r="F34" s="551">
        <v>98</v>
      </c>
      <c r="G34" s="541">
        <f t="shared" si="0"/>
        <v>70749</v>
      </c>
      <c r="H34" s="429">
        <v>246</v>
      </c>
      <c r="I34" s="548">
        <f t="shared" si="1"/>
        <v>2610.64</v>
      </c>
      <c r="J34" s="548">
        <f t="shared" si="2"/>
        <v>2610.64</v>
      </c>
      <c r="K34" s="545"/>
      <c r="L34" s="545"/>
      <c r="M34" s="545"/>
      <c r="N34" s="545"/>
      <c r="O34" s="545"/>
      <c r="P34" s="545"/>
      <c r="Q34" s="545"/>
      <c r="R34" s="545"/>
      <c r="S34" s="549">
        <f t="shared" si="3"/>
        <v>34.33</v>
      </c>
      <c r="T34" s="545"/>
    </row>
    <row r="35" spans="1:20" ht="15" x14ac:dyDescent="0.2">
      <c r="A35" s="260">
        <v>25</v>
      </c>
      <c r="B35" s="419" t="s">
        <v>919</v>
      </c>
      <c r="C35" s="436">
        <v>32257</v>
      </c>
      <c r="D35" s="436">
        <v>1700</v>
      </c>
      <c r="E35" s="491">
        <v>0</v>
      </c>
      <c r="F35" s="551">
        <v>34</v>
      </c>
      <c r="G35" s="541">
        <f t="shared" si="0"/>
        <v>33991</v>
      </c>
      <c r="H35" s="429">
        <v>246</v>
      </c>
      <c r="I35" s="548">
        <f t="shared" si="1"/>
        <v>1254.27</v>
      </c>
      <c r="J35" s="548">
        <f t="shared" si="2"/>
        <v>1254.27</v>
      </c>
      <c r="K35" s="545"/>
      <c r="L35" s="545"/>
      <c r="M35" s="545"/>
      <c r="N35" s="545"/>
      <c r="O35" s="545"/>
      <c r="P35" s="545"/>
      <c r="Q35" s="545"/>
      <c r="R35" s="545"/>
      <c r="S35" s="549">
        <f t="shared" si="3"/>
        <v>16.489999999999998</v>
      </c>
      <c r="T35" s="545"/>
    </row>
    <row r="36" spans="1:20" ht="15" x14ac:dyDescent="0.2">
      <c r="A36" s="260">
        <v>26</v>
      </c>
      <c r="B36" s="419" t="s">
        <v>914</v>
      </c>
      <c r="C36" s="436">
        <v>8389</v>
      </c>
      <c r="D36" s="436">
        <v>73</v>
      </c>
      <c r="E36" s="491">
        <v>0</v>
      </c>
      <c r="F36" s="551">
        <v>0</v>
      </c>
      <c r="G36" s="541">
        <f t="shared" si="0"/>
        <v>8462</v>
      </c>
      <c r="H36" s="429">
        <v>246</v>
      </c>
      <c r="I36" s="548">
        <f t="shared" si="1"/>
        <v>312.25</v>
      </c>
      <c r="J36" s="548">
        <f t="shared" si="2"/>
        <v>312.25</v>
      </c>
      <c r="K36" s="545"/>
      <c r="L36" s="545"/>
      <c r="M36" s="545"/>
      <c r="N36" s="545"/>
      <c r="O36" s="545"/>
      <c r="P36" s="545"/>
      <c r="Q36" s="545"/>
      <c r="R36" s="545"/>
      <c r="S36" s="549">
        <f t="shared" si="3"/>
        <v>4.1100000000000003</v>
      </c>
      <c r="T36" s="545"/>
    </row>
    <row r="37" spans="1:20" ht="15" x14ac:dyDescent="0.2">
      <c r="A37" s="260">
        <v>27</v>
      </c>
      <c r="B37" s="419" t="s">
        <v>915</v>
      </c>
      <c r="C37" s="436">
        <v>35268</v>
      </c>
      <c r="D37" s="436">
        <v>453</v>
      </c>
      <c r="E37" s="491">
        <v>0</v>
      </c>
      <c r="F37" s="551">
        <v>174</v>
      </c>
      <c r="G37" s="541">
        <f t="shared" si="0"/>
        <v>35895</v>
      </c>
      <c r="H37" s="429">
        <v>246</v>
      </c>
      <c r="I37" s="548">
        <f t="shared" si="1"/>
        <v>1324.53</v>
      </c>
      <c r="J37" s="548">
        <f t="shared" si="2"/>
        <v>1324.53</v>
      </c>
      <c r="K37" s="545"/>
      <c r="L37" s="545"/>
      <c r="M37" s="545"/>
      <c r="N37" s="545"/>
      <c r="O37" s="545"/>
      <c r="P37" s="545"/>
      <c r="Q37" s="545"/>
      <c r="R37" s="545"/>
      <c r="S37" s="549">
        <f t="shared" si="3"/>
        <v>17.420000000000002</v>
      </c>
      <c r="T37" s="545"/>
    </row>
    <row r="38" spans="1:20" x14ac:dyDescent="0.2">
      <c r="A38" s="306" t="s">
        <v>18</v>
      </c>
      <c r="B38" s="261"/>
      <c r="C38" s="489">
        <f>SUM(C11:C37)</f>
        <v>1072656</v>
      </c>
      <c r="D38" s="489">
        <f>SUM(D11:D37)</f>
        <v>25996</v>
      </c>
      <c r="E38" s="489">
        <f>SUM(E11:E37)</f>
        <v>0</v>
      </c>
      <c r="F38" s="489">
        <f>SUM(F11:F37)</f>
        <v>2327</v>
      </c>
      <c r="G38" s="455">
        <f>SUM(G11:G37)</f>
        <v>1100979</v>
      </c>
      <c r="H38" s="429">
        <v>246</v>
      </c>
      <c r="I38" s="552">
        <f>SUM(I11:I37)</f>
        <v>40626.159999999996</v>
      </c>
      <c r="J38" s="412">
        <f t="shared" si="2"/>
        <v>40626.159999999996</v>
      </c>
      <c r="K38" s="261"/>
      <c r="L38" s="261"/>
      <c r="M38" s="261"/>
      <c r="N38" s="261"/>
      <c r="O38" s="261"/>
      <c r="P38" s="261"/>
      <c r="Q38" s="261"/>
      <c r="R38" s="261"/>
      <c r="S38" s="261">
        <f t="shared" si="3"/>
        <v>534.23</v>
      </c>
      <c r="T38" s="261"/>
    </row>
    <row r="39" spans="1:20" x14ac:dyDescent="0.2">
      <c r="A39" s="263"/>
      <c r="B39" s="263"/>
      <c r="C39" s="263"/>
      <c r="D39" s="263"/>
      <c r="E39" s="263"/>
      <c r="F39" s="263"/>
      <c r="G39" s="263"/>
      <c r="H39" s="263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</row>
    <row r="40" spans="1:20" x14ac:dyDescent="0.2">
      <c r="A40" s="264" t="s">
        <v>8</v>
      </c>
      <c r="B40" s="265"/>
      <c r="C40" s="265"/>
      <c r="D40" s="263"/>
      <c r="E40" s="263"/>
      <c r="F40" s="263"/>
      <c r="G40" s="263"/>
      <c r="H40" s="263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</row>
    <row r="41" spans="1:20" x14ac:dyDescent="0.2">
      <c r="A41" s="266" t="s">
        <v>9</v>
      </c>
      <c r="B41" s="266"/>
      <c r="C41" s="26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</row>
    <row r="42" spans="1:20" x14ac:dyDescent="0.2">
      <c r="A42" s="266" t="s">
        <v>10</v>
      </c>
      <c r="B42" s="266"/>
      <c r="C42" s="26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1:20" x14ac:dyDescent="0.2">
      <c r="A43" s="266"/>
      <c r="B43" s="266"/>
      <c r="C43" s="26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</row>
    <row r="44" spans="1:20" x14ac:dyDescent="0.2">
      <c r="A44" s="266"/>
      <c r="B44" s="266"/>
      <c r="C44" s="26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</row>
    <row r="45" spans="1:20" ht="12.75" customHeight="1" x14ac:dyDescent="0.2">
      <c r="A45" s="266" t="s">
        <v>12</v>
      </c>
      <c r="H45" s="266"/>
      <c r="I45" s="256"/>
      <c r="J45" s="266"/>
      <c r="K45" s="266"/>
      <c r="L45" s="266"/>
      <c r="M45" s="266"/>
      <c r="N45" s="266"/>
      <c r="O45" s="266"/>
      <c r="P45" s="810" t="s">
        <v>13</v>
      </c>
      <c r="Q45" s="810"/>
      <c r="R45" s="810"/>
      <c r="S45" s="810"/>
      <c r="T45" s="810"/>
    </row>
    <row r="46" spans="1:20" ht="12.75" customHeight="1" x14ac:dyDescent="0.2">
      <c r="I46" s="266"/>
      <c r="J46" s="641"/>
      <c r="K46" s="641"/>
      <c r="L46" s="641"/>
      <c r="M46" s="641"/>
      <c r="N46" s="641"/>
      <c r="O46" s="641"/>
      <c r="P46" s="810" t="s">
        <v>14</v>
      </c>
      <c r="Q46" s="810"/>
      <c r="R46" s="810"/>
      <c r="S46" s="810"/>
      <c r="T46" s="810"/>
    </row>
    <row r="47" spans="1:20" ht="12.75" customHeight="1" x14ac:dyDescent="0.2">
      <c r="I47" s="641"/>
      <c r="J47" s="641"/>
      <c r="K47" s="641"/>
      <c r="L47" s="641"/>
      <c r="M47" s="641"/>
      <c r="N47" s="641"/>
      <c r="O47" s="641"/>
      <c r="P47" s="810" t="s">
        <v>918</v>
      </c>
      <c r="Q47" s="810"/>
      <c r="R47" s="810"/>
      <c r="S47" s="810"/>
      <c r="T47" s="810"/>
    </row>
    <row r="48" spans="1:20" s="642" customFormat="1" x14ac:dyDescent="0.2">
      <c r="A48" s="644"/>
      <c r="B48" s="644"/>
      <c r="J48" s="644"/>
      <c r="K48" s="644"/>
      <c r="L48" s="644"/>
      <c r="M48" s="644"/>
      <c r="N48" s="644"/>
      <c r="O48" s="644"/>
      <c r="P48" s="657"/>
      <c r="Q48" s="207" t="s">
        <v>82</v>
      </c>
      <c r="R48" s="207"/>
      <c r="S48" s="207"/>
      <c r="T48" s="207"/>
    </row>
    <row r="49" spans="1:20" s="642" customFormat="1" x14ac:dyDescent="0.2"/>
    <row r="50" spans="1:20" s="642" customFormat="1" x14ac:dyDescent="0.2">
      <c r="A50" s="1105"/>
      <c r="B50" s="1105"/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  <c r="N50" s="1105"/>
      <c r="O50" s="1105"/>
      <c r="P50" s="1105"/>
      <c r="Q50" s="1105"/>
      <c r="R50" s="1105"/>
      <c r="S50" s="1105"/>
      <c r="T50" s="1105"/>
    </row>
    <row r="51" spans="1:20" s="642" customFormat="1" x14ac:dyDescent="0.2"/>
    <row r="52" spans="1:20" s="642" customFormat="1" x14ac:dyDescent="0.2"/>
    <row r="53" spans="1:20" s="642" customFormat="1" x14ac:dyDescent="0.2"/>
    <row r="54" spans="1:20" s="642" customFormat="1" x14ac:dyDescent="0.2"/>
    <row r="55" spans="1:20" s="642" customFormat="1" x14ac:dyDescent="0.2"/>
    <row r="56" spans="1:20" s="642" customFormat="1" x14ac:dyDescent="0.2"/>
    <row r="57" spans="1:20" s="642" customFormat="1" x14ac:dyDescent="0.2"/>
    <row r="58" spans="1:20" s="642" customFormat="1" x14ac:dyDescent="0.2"/>
    <row r="59" spans="1:20" s="642" customFormat="1" x14ac:dyDescent="0.2"/>
    <row r="60" spans="1:20" s="642" customFormat="1" x14ac:dyDescent="0.2"/>
    <row r="61" spans="1:20" s="642" customFormat="1" x14ac:dyDescent="0.2"/>
    <row r="62" spans="1:20" s="642" customFormat="1" x14ac:dyDescent="0.2"/>
    <row r="63" spans="1:20" s="642" customFormat="1" x14ac:dyDescent="0.2"/>
    <row r="64" spans="1:20" s="642" customFormat="1" x14ac:dyDescent="0.2"/>
    <row r="65" s="642" customFormat="1" x14ac:dyDescent="0.2"/>
    <row r="66" s="642" customFormat="1" x14ac:dyDescent="0.2"/>
    <row r="67" s="642" customFormat="1" x14ac:dyDescent="0.2"/>
    <row r="68" s="642" customFormat="1" x14ac:dyDescent="0.2"/>
    <row r="69" s="642" customFormat="1" x14ac:dyDescent="0.2"/>
    <row r="70" s="642" customFormat="1" x14ac:dyDescent="0.2"/>
    <row r="71" s="642" customFormat="1" x14ac:dyDescent="0.2"/>
    <row r="72" s="642" customFormat="1" x14ac:dyDescent="0.2"/>
    <row r="73" s="642" customFormat="1" x14ac:dyDescent="0.2"/>
    <row r="74" s="642" customFormat="1" x14ac:dyDescent="0.2"/>
    <row r="75" s="642" customFormat="1" x14ac:dyDescent="0.2"/>
    <row r="76" s="642" customFormat="1" x14ac:dyDescent="0.2"/>
    <row r="77" s="642" customFormat="1" x14ac:dyDescent="0.2"/>
    <row r="78" s="642" customFormat="1" x14ac:dyDescent="0.2"/>
    <row r="79" s="642" customFormat="1" x14ac:dyDescent="0.2"/>
    <row r="80" s="642" customFormat="1" x14ac:dyDescent="0.2"/>
    <row r="81" s="642" customFormat="1" x14ac:dyDescent="0.2"/>
    <row r="82" s="642" customFormat="1" x14ac:dyDescent="0.2"/>
    <row r="83" s="642" customFormat="1" x14ac:dyDescent="0.2"/>
    <row r="84" s="642" customFormat="1" x14ac:dyDescent="0.2"/>
    <row r="85" s="642" customFormat="1" x14ac:dyDescent="0.2"/>
    <row r="86" s="642" customFormat="1" x14ac:dyDescent="0.2"/>
    <row r="87" s="642" customFormat="1" x14ac:dyDescent="0.2"/>
    <row r="88" s="642" customFormat="1" x14ac:dyDescent="0.2"/>
    <row r="89" s="642" customFormat="1" x14ac:dyDescent="0.2"/>
    <row r="90" s="642" customFormat="1" x14ac:dyDescent="0.2"/>
    <row r="91" s="642" customFormat="1" x14ac:dyDescent="0.2"/>
    <row r="92" s="642" customFormat="1" x14ac:dyDescent="0.2"/>
    <row r="93" s="642" customFormat="1" x14ac:dyDescent="0.2"/>
    <row r="94" s="642" customFormat="1" x14ac:dyDescent="0.2"/>
    <row r="95" s="642" customFormat="1" x14ac:dyDescent="0.2"/>
    <row r="96" s="642" customFormat="1" x14ac:dyDescent="0.2"/>
    <row r="97" s="642" customFormat="1" x14ac:dyDescent="0.2"/>
    <row r="98" s="642" customFormat="1" x14ac:dyDescent="0.2"/>
    <row r="99" s="642" customFormat="1" x14ac:dyDescent="0.2"/>
    <row r="100" s="642" customFormat="1" x14ac:dyDescent="0.2"/>
    <row r="101" s="642" customFormat="1" x14ac:dyDescent="0.2"/>
    <row r="102" s="642" customFormat="1" x14ac:dyDescent="0.2"/>
    <row r="103" s="642" customFormat="1" x14ac:dyDescent="0.2"/>
    <row r="104" s="642" customFormat="1" x14ac:dyDescent="0.2"/>
    <row r="105" s="642" customFormat="1" x14ac:dyDescent="0.2"/>
    <row r="106" s="642" customFormat="1" x14ac:dyDescent="0.2"/>
    <row r="107" s="642" customFormat="1" x14ac:dyDescent="0.2"/>
    <row r="108" s="642" customFormat="1" x14ac:dyDescent="0.2"/>
    <row r="109" s="642" customFormat="1" x14ac:dyDescent="0.2"/>
    <row r="110" s="642" customFormat="1" x14ac:dyDescent="0.2"/>
    <row r="111" s="642" customFormat="1" x14ac:dyDescent="0.2"/>
    <row r="112" s="642" customFormat="1" x14ac:dyDescent="0.2"/>
    <row r="113" s="642" customFormat="1" x14ac:dyDescent="0.2"/>
    <row r="114" s="642" customFormat="1" x14ac:dyDescent="0.2"/>
    <row r="115" s="642" customFormat="1" x14ac:dyDescent="0.2"/>
    <row r="116" s="642" customFormat="1" x14ac:dyDescent="0.2"/>
    <row r="117" s="642" customFormat="1" x14ac:dyDescent="0.2"/>
    <row r="118" s="642" customFormat="1" x14ac:dyDescent="0.2"/>
  </sheetData>
  <mergeCells count="18">
    <mergeCell ref="P45:T45"/>
    <mergeCell ref="P46:T46"/>
    <mergeCell ref="P47:T47"/>
    <mergeCell ref="L7:T7"/>
    <mergeCell ref="A50:T50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31"/>
  <sheetViews>
    <sheetView topLeftCell="D4" zoomScale="84" zoomScaleNormal="84" zoomScaleSheetLayoutView="80" workbookViewId="0">
      <selection activeCell="N7" sqref="N7"/>
    </sheetView>
  </sheetViews>
  <sheetFormatPr defaultRowHeight="12.75" x14ac:dyDescent="0.2"/>
  <cols>
    <col min="1" max="1" width="7.28515625" style="185" customWidth="1"/>
    <col min="2" max="2" width="26" style="185" customWidth="1"/>
    <col min="3" max="3" width="10.7109375" style="185" customWidth="1"/>
    <col min="4" max="4" width="9.28515625" style="185" customWidth="1"/>
    <col min="5" max="5" width="9.5703125" style="185" customWidth="1"/>
    <col min="6" max="6" width="16" style="185" customWidth="1"/>
    <col min="7" max="9" width="10.7109375" style="185" customWidth="1"/>
    <col min="10" max="10" width="14.85546875" style="185" customWidth="1"/>
    <col min="11" max="11" width="11.42578125" style="185" customWidth="1"/>
    <col min="12" max="12" width="9.140625" style="185"/>
    <col min="13" max="13" width="9.85546875" style="185" customWidth="1"/>
    <col min="14" max="14" width="12.5703125" style="185" customWidth="1"/>
    <col min="15" max="18" width="9.140625" style="185"/>
    <col min="19" max="21" width="8.85546875" style="185" customWidth="1"/>
    <col min="22" max="16384" width="9.140625" style="185"/>
  </cols>
  <sheetData>
    <row r="1" spans="1:24" ht="15" x14ac:dyDescent="0.2">
      <c r="V1" s="186" t="s">
        <v>536</v>
      </c>
    </row>
    <row r="2" spans="1:24" ht="15.75" x14ac:dyDescent="0.25">
      <c r="G2" s="124" t="s">
        <v>0</v>
      </c>
      <c r="H2" s="124"/>
      <c r="I2" s="124"/>
      <c r="O2" s="88"/>
      <c r="P2" s="88"/>
      <c r="Q2" s="88"/>
      <c r="R2" s="88"/>
    </row>
    <row r="3" spans="1:24" ht="20.25" x14ac:dyDescent="0.3">
      <c r="C3" s="900" t="s">
        <v>738</v>
      </c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ht="18" x14ac:dyDescent="0.25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24" ht="15.75" x14ac:dyDescent="0.25">
      <c r="B5" s="901" t="s">
        <v>789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89"/>
      <c r="U5" s="902" t="s">
        <v>245</v>
      </c>
      <c r="V5" s="903"/>
    </row>
    <row r="6" spans="1:24" ht="15" x14ac:dyDescent="0.2">
      <c r="K6" s="88"/>
      <c r="L6" s="88"/>
      <c r="M6" s="88"/>
      <c r="N6" s="88"/>
      <c r="O6" s="88"/>
      <c r="P6" s="88"/>
      <c r="Q6" s="88"/>
      <c r="R6" s="88"/>
    </row>
    <row r="7" spans="1:24" x14ac:dyDescent="0.2">
      <c r="A7" s="904" t="s">
        <v>159</v>
      </c>
      <c r="B7" s="904"/>
      <c r="O7" s="905" t="s">
        <v>1186</v>
      </c>
      <c r="P7" s="905"/>
      <c r="Q7" s="905"/>
      <c r="R7" s="905"/>
      <c r="S7" s="905"/>
      <c r="T7" s="905"/>
      <c r="U7" s="905"/>
      <c r="V7" s="905"/>
    </row>
    <row r="8" spans="1:24" ht="35.25" customHeight="1" x14ac:dyDescent="0.2">
      <c r="A8" s="883" t="s">
        <v>2</v>
      </c>
      <c r="B8" s="883" t="s">
        <v>143</v>
      </c>
      <c r="C8" s="884" t="s">
        <v>144</v>
      </c>
      <c r="D8" s="884"/>
      <c r="E8" s="884"/>
      <c r="F8" s="884" t="s">
        <v>145</v>
      </c>
      <c r="G8" s="883" t="s">
        <v>175</v>
      </c>
      <c r="H8" s="883"/>
      <c r="I8" s="883"/>
      <c r="J8" s="883"/>
      <c r="K8" s="883"/>
      <c r="L8" s="883"/>
      <c r="M8" s="883"/>
      <c r="N8" s="883"/>
      <c r="O8" s="883" t="s">
        <v>176</v>
      </c>
      <c r="P8" s="883"/>
      <c r="Q8" s="883"/>
      <c r="R8" s="883"/>
      <c r="S8" s="883"/>
      <c r="T8" s="883"/>
      <c r="U8" s="883"/>
      <c r="V8" s="883"/>
    </row>
    <row r="9" spans="1:24" ht="15" x14ac:dyDescent="0.2">
      <c r="A9" s="883"/>
      <c r="B9" s="883"/>
      <c r="C9" s="884" t="s">
        <v>246</v>
      </c>
      <c r="D9" s="884" t="s">
        <v>41</v>
      </c>
      <c r="E9" s="884" t="s">
        <v>42</v>
      </c>
      <c r="F9" s="884"/>
      <c r="G9" s="883" t="s">
        <v>177</v>
      </c>
      <c r="H9" s="883"/>
      <c r="I9" s="883"/>
      <c r="J9" s="883"/>
      <c r="K9" s="883" t="s">
        <v>162</v>
      </c>
      <c r="L9" s="883"/>
      <c r="M9" s="883"/>
      <c r="N9" s="883"/>
      <c r="O9" s="883" t="s">
        <v>146</v>
      </c>
      <c r="P9" s="883"/>
      <c r="Q9" s="883"/>
      <c r="R9" s="883"/>
      <c r="S9" s="883" t="s">
        <v>161</v>
      </c>
      <c r="T9" s="883"/>
      <c r="U9" s="883"/>
      <c r="V9" s="883"/>
    </row>
    <row r="10" spans="1:24" x14ac:dyDescent="0.2">
      <c r="A10" s="883"/>
      <c r="B10" s="883"/>
      <c r="C10" s="884"/>
      <c r="D10" s="884"/>
      <c r="E10" s="884"/>
      <c r="F10" s="884"/>
      <c r="G10" s="885" t="s">
        <v>147</v>
      </c>
      <c r="H10" s="886"/>
      <c r="I10" s="887"/>
      <c r="J10" s="891" t="s">
        <v>148</v>
      </c>
      <c r="K10" s="894" t="s">
        <v>147</v>
      </c>
      <c r="L10" s="895"/>
      <c r="M10" s="896"/>
      <c r="N10" s="891" t="s">
        <v>148</v>
      </c>
      <c r="O10" s="894" t="s">
        <v>147</v>
      </c>
      <c r="P10" s="895"/>
      <c r="Q10" s="896"/>
      <c r="R10" s="891" t="s">
        <v>148</v>
      </c>
      <c r="S10" s="894" t="s">
        <v>147</v>
      </c>
      <c r="T10" s="895"/>
      <c r="U10" s="896"/>
      <c r="V10" s="891" t="s">
        <v>148</v>
      </c>
    </row>
    <row r="11" spans="1:24" ht="15" customHeight="1" x14ac:dyDescent="0.2">
      <c r="A11" s="883"/>
      <c r="B11" s="883"/>
      <c r="C11" s="884"/>
      <c r="D11" s="884"/>
      <c r="E11" s="884"/>
      <c r="F11" s="884"/>
      <c r="G11" s="888"/>
      <c r="H11" s="889"/>
      <c r="I11" s="890"/>
      <c r="J11" s="892"/>
      <c r="K11" s="897"/>
      <c r="L11" s="898"/>
      <c r="M11" s="899"/>
      <c r="N11" s="892"/>
      <c r="O11" s="897"/>
      <c r="P11" s="898"/>
      <c r="Q11" s="899"/>
      <c r="R11" s="892"/>
      <c r="S11" s="897"/>
      <c r="T11" s="898"/>
      <c r="U11" s="899"/>
      <c r="V11" s="892"/>
    </row>
    <row r="12" spans="1:24" ht="15" x14ac:dyDescent="0.2">
      <c r="A12" s="883"/>
      <c r="B12" s="883"/>
      <c r="C12" s="884"/>
      <c r="D12" s="884"/>
      <c r="E12" s="884"/>
      <c r="F12" s="884"/>
      <c r="G12" s="189" t="s">
        <v>246</v>
      </c>
      <c r="H12" s="189" t="s">
        <v>41</v>
      </c>
      <c r="I12" s="190" t="s">
        <v>42</v>
      </c>
      <c r="J12" s="893"/>
      <c r="K12" s="188" t="s">
        <v>246</v>
      </c>
      <c r="L12" s="188" t="s">
        <v>41</v>
      </c>
      <c r="M12" s="188" t="s">
        <v>42</v>
      </c>
      <c r="N12" s="893"/>
      <c r="O12" s="188" t="s">
        <v>246</v>
      </c>
      <c r="P12" s="188" t="s">
        <v>41</v>
      </c>
      <c r="Q12" s="188" t="s">
        <v>42</v>
      </c>
      <c r="R12" s="893"/>
      <c r="S12" s="188" t="s">
        <v>246</v>
      </c>
      <c r="T12" s="188" t="s">
        <v>41</v>
      </c>
      <c r="U12" s="188" t="s">
        <v>42</v>
      </c>
      <c r="V12" s="893"/>
    </row>
    <row r="13" spans="1:24" ht="15" x14ac:dyDescent="0.2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8">
        <v>6</v>
      </c>
      <c r="G13" s="188">
        <v>7</v>
      </c>
      <c r="H13" s="188">
        <v>8</v>
      </c>
      <c r="I13" s="188">
        <v>9</v>
      </c>
      <c r="J13" s="188">
        <v>10</v>
      </c>
      <c r="K13" s="188">
        <v>11</v>
      </c>
      <c r="L13" s="188">
        <v>12</v>
      </c>
      <c r="M13" s="188">
        <v>13</v>
      </c>
      <c r="N13" s="188">
        <v>14</v>
      </c>
      <c r="O13" s="188">
        <v>15</v>
      </c>
      <c r="P13" s="188">
        <v>16</v>
      </c>
      <c r="Q13" s="188">
        <v>17</v>
      </c>
      <c r="R13" s="188">
        <v>18</v>
      </c>
      <c r="S13" s="188">
        <v>19</v>
      </c>
      <c r="T13" s="188">
        <v>20</v>
      </c>
      <c r="U13" s="188">
        <v>21</v>
      </c>
      <c r="V13" s="188">
        <v>22</v>
      </c>
    </row>
    <row r="14" spans="1:24" ht="15" x14ac:dyDescent="0.2">
      <c r="A14" s="906" t="s">
        <v>207</v>
      </c>
      <c r="B14" s="90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</row>
    <row r="15" spans="1:24" ht="20.25" customHeight="1" x14ac:dyDescent="0.2">
      <c r="A15" s="188">
        <v>1</v>
      </c>
      <c r="B15" s="191" t="s">
        <v>206</v>
      </c>
      <c r="C15" s="424">
        <v>3420.4</v>
      </c>
      <c r="D15" s="424">
        <v>979.03</v>
      </c>
      <c r="E15" s="424">
        <v>2140.5300000000002</v>
      </c>
      <c r="F15" s="192" t="s">
        <v>947</v>
      </c>
      <c r="G15" s="426">
        <v>15959.0067</v>
      </c>
      <c r="H15" s="426">
        <v>3755.0603999999998</v>
      </c>
      <c r="I15" s="426">
        <v>11578.1029</v>
      </c>
      <c r="J15" s="192" t="s">
        <v>948</v>
      </c>
      <c r="K15" s="426">
        <v>15959.0067</v>
      </c>
      <c r="L15" s="426">
        <v>3755.0603999999998</v>
      </c>
      <c r="M15" s="426">
        <v>11578.1029</v>
      </c>
      <c r="N15" s="192" t="s">
        <v>948</v>
      </c>
      <c r="O15" s="192"/>
      <c r="P15" s="192"/>
      <c r="Q15" s="192"/>
      <c r="R15" s="192"/>
      <c r="S15" s="192"/>
      <c r="T15" s="192"/>
      <c r="U15" s="192"/>
      <c r="V15" s="192"/>
    </row>
    <row r="16" spans="1:24" ht="20.25" customHeight="1" x14ac:dyDescent="0.2">
      <c r="A16" s="188">
        <v>2</v>
      </c>
      <c r="B16" s="191" t="s">
        <v>149</v>
      </c>
      <c r="C16" s="424">
        <v>3409.16</v>
      </c>
      <c r="D16" s="424">
        <v>954.85</v>
      </c>
      <c r="E16" s="424">
        <v>2065.94</v>
      </c>
      <c r="F16" s="425">
        <v>43808</v>
      </c>
      <c r="G16" s="426">
        <v>12945.9267</v>
      </c>
      <c r="H16" s="426">
        <v>3046.1003999999998</v>
      </c>
      <c r="I16" s="426">
        <v>9392.1428999999989</v>
      </c>
      <c r="J16" s="192" t="s">
        <v>949</v>
      </c>
      <c r="K16" s="426">
        <v>12945.9267</v>
      </c>
      <c r="L16" s="426">
        <v>3046.1003999999998</v>
      </c>
      <c r="M16" s="426">
        <v>9392.1428999999989</v>
      </c>
      <c r="N16" s="192" t="s">
        <v>949</v>
      </c>
      <c r="O16" s="192"/>
      <c r="P16" s="192"/>
      <c r="Q16" s="192"/>
      <c r="R16" s="192"/>
      <c r="S16" s="192"/>
      <c r="T16" s="192"/>
      <c r="U16" s="192"/>
      <c r="V16" s="192"/>
    </row>
    <row r="17" spans="1:24" ht="20.25" customHeight="1" x14ac:dyDescent="0.2">
      <c r="A17" s="188">
        <v>3</v>
      </c>
      <c r="B17" s="191" t="s">
        <v>150</v>
      </c>
      <c r="C17" s="192">
        <v>6637.74</v>
      </c>
      <c r="D17" s="192" t="s">
        <v>946</v>
      </c>
      <c r="E17" s="192">
        <v>4022.46</v>
      </c>
      <c r="F17" s="192" t="s">
        <v>945</v>
      </c>
      <c r="G17" s="426">
        <v>694.96170000000006</v>
      </c>
      <c r="H17" s="426">
        <v>163.5204</v>
      </c>
      <c r="I17" s="426">
        <v>504.18790000000001</v>
      </c>
      <c r="J17" s="192" t="s">
        <v>950</v>
      </c>
      <c r="K17" s="426">
        <v>694.96170000000006</v>
      </c>
      <c r="L17" s="426">
        <v>163.5204</v>
      </c>
      <c r="M17" s="426">
        <v>504.18790000000001</v>
      </c>
      <c r="N17" s="192" t="s">
        <v>950</v>
      </c>
      <c r="O17" s="192"/>
      <c r="P17" s="192"/>
      <c r="Q17" s="192"/>
      <c r="R17" s="192"/>
      <c r="S17" s="192"/>
      <c r="T17" s="192"/>
      <c r="U17" s="192"/>
      <c r="V17" s="192"/>
    </row>
    <row r="18" spans="1:24" ht="15" x14ac:dyDescent="0.2">
      <c r="A18" s="906" t="s">
        <v>208</v>
      </c>
      <c r="B18" s="907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4" ht="15" x14ac:dyDescent="0.2">
      <c r="A19" s="188">
        <v>4</v>
      </c>
      <c r="B19" s="191" t="s">
        <v>197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4" ht="15" x14ac:dyDescent="0.2">
      <c r="A20" s="188">
        <v>5</v>
      </c>
      <c r="B20" s="191" t="s">
        <v>128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4" ht="25.5" x14ac:dyDescent="0.2">
      <c r="A21" s="188">
        <v>6</v>
      </c>
      <c r="B21" s="162" t="s">
        <v>841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4" spans="1:24" ht="14.25" x14ac:dyDescent="0.2">
      <c r="A24" s="908" t="s">
        <v>163</v>
      </c>
      <c r="B24" s="908"/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</row>
    <row r="25" spans="1:24" ht="14.25" x14ac:dyDescent="0.2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</row>
    <row r="26" spans="1:24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24" ht="15.75" customHeight="1" x14ac:dyDescent="0.25">
      <c r="A27" s="500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3"/>
      <c r="O27" s="503"/>
      <c r="P27" s="503"/>
      <c r="Q27" s="503"/>
      <c r="R27" s="503"/>
      <c r="S27" s="503"/>
      <c r="T27" s="503"/>
      <c r="U27" s="503"/>
      <c r="V27" s="503"/>
    </row>
    <row r="28" spans="1:24" ht="15.75" customHeight="1" x14ac:dyDescent="0.2">
      <c r="A28" s="503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14"/>
      <c r="Q28" s="810" t="s">
        <v>13</v>
      </c>
      <c r="R28" s="810"/>
      <c r="S28" s="810"/>
      <c r="T28" s="810"/>
      <c r="U28" s="810"/>
      <c r="V28" s="563"/>
    </row>
    <row r="29" spans="1:24" ht="15.75" customHeight="1" x14ac:dyDescent="0.25">
      <c r="A29" s="503"/>
      <c r="B29" s="492" t="s">
        <v>12</v>
      </c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63"/>
      <c r="Q29" s="810" t="s">
        <v>14</v>
      </c>
      <c r="R29" s="810"/>
      <c r="S29" s="810"/>
      <c r="T29" s="810"/>
      <c r="U29" s="810"/>
      <c r="V29" s="563"/>
    </row>
    <row r="30" spans="1:24" x14ac:dyDescent="0.2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P30" s="810" t="s">
        <v>918</v>
      </c>
      <c r="Q30" s="810"/>
      <c r="R30" s="810"/>
      <c r="S30" s="810"/>
      <c r="T30" s="810"/>
      <c r="U30" s="810"/>
      <c r="V30" s="810"/>
      <c r="W30" s="634"/>
      <c r="X30" s="634"/>
    </row>
    <row r="31" spans="1:24" x14ac:dyDescent="0.2">
      <c r="P31" s="811" t="s">
        <v>82</v>
      </c>
      <c r="Q31" s="811"/>
      <c r="R31" s="811"/>
      <c r="S31" s="811"/>
      <c r="T31" s="811"/>
      <c r="U31" s="811"/>
      <c r="V31" s="811"/>
    </row>
  </sheetData>
  <mergeCells count="33">
    <mergeCell ref="P30:V30"/>
    <mergeCell ref="A14:B14"/>
    <mergeCell ref="A18:B18"/>
    <mergeCell ref="A24:V24"/>
    <mergeCell ref="Q28:U28"/>
    <mergeCell ref="Q29:U29"/>
    <mergeCell ref="S10:U11"/>
    <mergeCell ref="C3:N3"/>
    <mergeCell ref="B5:S5"/>
    <mergeCell ref="U5:V5"/>
    <mergeCell ref="A7:B7"/>
    <mergeCell ref="O7:V7"/>
    <mergeCell ref="K9:N9"/>
    <mergeCell ref="O9:R9"/>
    <mergeCell ref="S9:V9"/>
    <mergeCell ref="R10:R12"/>
    <mergeCell ref="O10:Q11"/>
    <mergeCell ref="P31:V31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  <pageSetUpPr fitToPage="1"/>
  </sheetPr>
  <dimension ref="A1:AB77"/>
  <sheetViews>
    <sheetView zoomScale="70" zoomScaleNormal="70" zoomScaleSheetLayoutView="100" workbookViewId="0">
      <selection activeCell="A36" sqref="A36"/>
    </sheetView>
  </sheetViews>
  <sheetFormatPr defaultRowHeight="12.75" x14ac:dyDescent="0.2"/>
  <cols>
    <col min="1" max="1" width="5.5703125" style="256" customWidth="1"/>
    <col min="2" max="2" width="8.85546875" style="256" customWidth="1"/>
    <col min="3" max="3" width="10.28515625" style="256" customWidth="1"/>
    <col min="4" max="4" width="12.85546875" style="256" customWidth="1"/>
    <col min="5" max="5" width="8.7109375" style="242" customWidth="1"/>
    <col min="6" max="7" width="8" style="242" customWidth="1"/>
    <col min="8" max="10" width="8.140625" style="242" customWidth="1"/>
    <col min="11" max="11" width="8.42578125" style="242" customWidth="1"/>
    <col min="12" max="12" width="8.140625" style="242" customWidth="1"/>
    <col min="13" max="13" width="8.85546875" style="242" customWidth="1"/>
    <col min="14" max="14" width="8.140625" style="242" customWidth="1"/>
    <col min="15" max="15" width="9.140625" style="256"/>
    <col min="16" max="16" width="12.42578125" style="256" customWidth="1"/>
    <col min="17" max="28" width="9.140625" style="642"/>
    <col min="29" max="16384" width="9.140625" style="242"/>
  </cols>
  <sheetData>
    <row r="1" spans="1:28" ht="12.75" customHeight="1" x14ac:dyDescent="0.2">
      <c r="D1" s="1094"/>
      <c r="E1" s="1094"/>
      <c r="F1" s="256"/>
      <c r="G1" s="256"/>
      <c r="H1" s="256"/>
      <c r="I1" s="256"/>
      <c r="J1" s="256"/>
      <c r="K1" s="256"/>
      <c r="L1" s="256"/>
      <c r="M1" s="1096" t="s">
        <v>531</v>
      </c>
      <c r="N1" s="1096"/>
    </row>
    <row r="2" spans="1:28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28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28" ht="12.75" customHeight="1" x14ac:dyDescent="0.2">
      <c r="A4" s="1100" t="s">
        <v>748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</row>
    <row r="5" spans="1:28" s="243" customFormat="1" ht="7.5" customHeight="1" x14ac:dyDescent="0.2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303"/>
      <c r="P5" s="30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</row>
    <row r="6" spans="1:28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</row>
    <row r="7" spans="1:28" ht="15" x14ac:dyDescent="0.3">
      <c r="A7" s="197" t="s">
        <v>917</v>
      </c>
      <c r="B7" s="197" t="s">
        <v>916</v>
      </c>
      <c r="D7" s="257"/>
      <c r="E7" s="256"/>
      <c r="F7" s="256"/>
      <c r="G7" s="256"/>
      <c r="H7" s="1106"/>
      <c r="I7" s="1106"/>
      <c r="J7" s="1106"/>
      <c r="K7" s="1106"/>
      <c r="L7" s="1106"/>
      <c r="M7" s="1106"/>
      <c r="N7" s="1106"/>
    </row>
    <row r="8" spans="1:28" ht="39" customHeight="1" x14ac:dyDescent="0.2">
      <c r="A8" s="1103" t="s">
        <v>2</v>
      </c>
      <c r="B8" s="1103" t="s">
        <v>3</v>
      </c>
      <c r="C8" s="1109" t="s">
        <v>484</v>
      </c>
      <c r="D8" s="1107" t="s">
        <v>83</v>
      </c>
      <c r="E8" s="1097" t="s">
        <v>84</v>
      </c>
      <c r="F8" s="1098"/>
      <c r="G8" s="1098"/>
      <c r="H8" s="1099"/>
      <c r="I8" s="1103" t="s">
        <v>646</v>
      </c>
      <c r="J8" s="1103"/>
      <c r="K8" s="1103"/>
      <c r="L8" s="1103"/>
      <c r="M8" s="1103"/>
      <c r="N8" s="1103"/>
      <c r="O8" s="1104" t="s">
        <v>701</v>
      </c>
      <c r="P8" s="1104"/>
    </row>
    <row r="9" spans="1:28" ht="44.45" customHeight="1" x14ac:dyDescent="0.2">
      <c r="A9" s="1103"/>
      <c r="B9" s="1103"/>
      <c r="C9" s="1110"/>
      <c r="D9" s="1108"/>
      <c r="E9" s="258" t="s">
        <v>88</v>
      </c>
      <c r="F9" s="258" t="s">
        <v>20</v>
      </c>
      <c r="G9" s="258" t="s">
        <v>40</v>
      </c>
      <c r="H9" s="258" t="s">
        <v>680</v>
      </c>
      <c r="I9" s="258" t="s">
        <v>18</v>
      </c>
      <c r="J9" s="258" t="s">
        <v>647</v>
      </c>
      <c r="K9" s="258" t="s">
        <v>648</v>
      </c>
      <c r="L9" s="258" t="s">
        <v>649</v>
      </c>
      <c r="M9" s="258" t="s">
        <v>650</v>
      </c>
      <c r="N9" s="258" t="s">
        <v>651</v>
      </c>
      <c r="O9" s="258" t="s">
        <v>706</v>
      </c>
      <c r="P9" s="258" t="s">
        <v>704</v>
      </c>
    </row>
    <row r="10" spans="1:28" s="307" customFormat="1" x14ac:dyDescent="0.2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</row>
    <row r="11" spans="1:28" x14ac:dyDescent="0.2">
      <c r="A11" s="260">
        <v>1</v>
      </c>
      <c r="B11" s="261"/>
      <c r="C11" s="261"/>
      <c r="D11" s="288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</row>
    <row r="12" spans="1:28" x14ac:dyDescent="0.2">
      <c r="A12" s="260">
        <v>2</v>
      </c>
      <c r="B12" s="261"/>
      <c r="C12" s="261"/>
      <c r="D12" s="288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</row>
    <row r="13" spans="1:28" x14ac:dyDescent="0.2">
      <c r="A13" s="260">
        <v>3</v>
      </c>
      <c r="B13" s="261"/>
      <c r="C13" s="261"/>
      <c r="D13" s="288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28" x14ac:dyDescent="0.2">
      <c r="A14" s="260">
        <v>4</v>
      </c>
      <c r="B14" s="261"/>
      <c r="C14" s="261"/>
      <c r="D14" s="288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</row>
    <row r="15" spans="1:28" x14ac:dyDescent="0.2">
      <c r="A15" s="260">
        <v>5</v>
      </c>
      <c r="B15" s="261"/>
      <c r="C15" s="261"/>
      <c r="D15" s="288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</row>
    <row r="16" spans="1:28" x14ac:dyDescent="0.2">
      <c r="A16" s="260">
        <v>6</v>
      </c>
      <c r="B16" s="261"/>
      <c r="C16" s="261"/>
      <c r="D16" s="288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</row>
    <row r="17" spans="1:16" x14ac:dyDescent="0.2">
      <c r="A17" s="260">
        <v>7</v>
      </c>
      <c r="B17" s="261"/>
      <c r="C17" s="261"/>
      <c r="D17" s="288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x14ac:dyDescent="0.2">
      <c r="A18" s="260">
        <v>8</v>
      </c>
      <c r="B18" s="261"/>
      <c r="C18" s="261"/>
      <c r="D18" s="288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19" spans="1:16" x14ac:dyDescent="0.2">
      <c r="A19" s="260">
        <v>9</v>
      </c>
      <c r="B19" s="261"/>
      <c r="C19" s="261"/>
      <c r="D19" s="288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x14ac:dyDescent="0.2">
      <c r="A20" s="260">
        <v>10</v>
      </c>
      <c r="B20" s="261"/>
      <c r="C20" s="261"/>
      <c r="D20" s="288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x14ac:dyDescent="0.2">
      <c r="A21" s="260">
        <v>11</v>
      </c>
      <c r="B21" s="261"/>
      <c r="C21" s="261"/>
      <c r="D21" s="288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</row>
    <row r="22" spans="1:16" x14ac:dyDescent="0.2">
      <c r="A22" s="260">
        <v>12</v>
      </c>
      <c r="B22" s="261"/>
      <c r="C22" s="261"/>
      <c r="D22" s="288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x14ac:dyDescent="0.2">
      <c r="A23" s="260">
        <v>13</v>
      </c>
      <c r="B23" s="261"/>
      <c r="C23" s="261"/>
      <c r="D23" s="288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</row>
    <row r="24" spans="1:16" x14ac:dyDescent="0.2">
      <c r="A24" s="260">
        <v>14</v>
      </c>
      <c r="B24" s="261"/>
      <c r="C24" s="261"/>
      <c r="D24" s="288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x14ac:dyDescent="0.2">
      <c r="A25" s="262" t="s">
        <v>7</v>
      </c>
      <c r="B25" s="261"/>
      <c r="C25" s="261"/>
      <c r="D25" s="288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x14ac:dyDescent="0.2">
      <c r="A26" s="262" t="s">
        <v>7</v>
      </c>
      <c r="B26" s="261"/>
      <c r="C26" s="261"/>
      <c r="D26" s="288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x14ac:dyDescent="0.2">
      <c r="A27" s="306" t="s">
        <v>18</v>
      </c>
      <c r="B27" s="261"/>
      <c r="C27" s="261"/>
      <c r="D27" s="288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x14ac:dyDescent="0.2">
      <c r="A28" s="263"/>
      <c r="B28" s="263"/>
      <c r="C28" s="263"/>
      <c r="D28" s="263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1:16" x14ac:dyDescent="0.2">
      <c r="A29" s="264"/>
      <c r="B29" s="265"/>
      <c r="C29" s="265"/>
      <c r="D29" s="263"/>
      <c r="E29" s="256"/>
      <c r="F29" s="256"/>
      <c r="G29" s="256"/>
      <c r="H29" s="256"/>
      <c r="I29" s="256"/>
      <c r="J29" s="256"/>
      <c r="K29" s="256"/>
      <c r="L29" s="256"/>
      <c r="M29" s="256"/>
      <c r="N29" s="256"/>
    </row>
    <row r="30" spans="1:16" x14ac:dyDescent="0.2">
      <c r="A30" s="266"/>
      <c r="B30" s="266"/>
      <c r="C30" s="266"/>
      <c r="E30" s="256"/>
      <c r="F30" s="256"/>
      <c r="G30" s="256"/>
      <c r="H30" s="256"/>
      <c r="I30" s="256"/>
      <c r="J30" s="256"/>
      <c r="K30" s="256"/>
      <c r="L30" s="256"/>
      <c r="M30" s="256"/>
      <c r="N30" s="256"/>
    </row>
    <row r="31" spans="1:16" x14ac:dyDescent="0.2">
      <c r="A31" s="266"/>
      <c r="B31" s="266"/>
      <c r="C31" s="266"/>
      <c r="E31" s="256"/>
      <c r="F31" s="256"/>
      <c r="G31" s="256"/>
      <c r="H31" s="256"/>
      <c r="I31" s="256"/>
      <c r="J31" s="256"/>
      <c r="K31" s="256"/>
      <c r="L31" s="256"/>
      <c r="M31" s="256"/>
      <c r="N31" s="256"/>
    </row>
    <row r="32" spans="1:16" x14ac:dyDescent="0.2">
      <c r="A32" s="266"/>
      <c r="B32" s="266"/>
      <c r="C32" s="266"/>
      <c r="E32" s="256"/>
      <c r="F32" s="256"/>
      <c r="G32" s="256"/>
      <c r="H32" s="256"/>
      <c r="I32" s="256"/>
      <c r="J32" s="256"/>
      <c r="K32" s="256"/>
      <c r="L32" s="256"/>
      <c r="M32" s="256"/>
      <c r="N32" s="256"/>
    </row>
    <row r="33" spans="1:16" x14ac:dyDescent="0.2">
      <c r="A33" s="266"/>
      <c r="B33" s="266"/>
      <c r="C33" s="266"/>
      <c r="E33" s="256"/>
      <c r="F33" s="256"/>
      <c r="G33" s="256"/>
      <c r="H33" s="256"/>
      <c r="I33" s="256"/>
      <c r="J33" s="256"/>
      <c r="K33" s="256"/>
      <c r="L33" s="810" t="s">
        <v>13</v>
      </c>
      <c r="M33" s="810"/>
      <c r="N33" s="810"/>
      <c r="O33" s="810"/>
      <c r="P33" s="810"/>
    </row>
    <row r="34" spans="1:16" x14ac:dyDescent="0.2">
      <c r="A34" s="266"/>
      <c r="D34" s="266"/>
      <c r="E34" s="256"/>
      <c r="F34" s="266"/>
      <c r="G34" s="266"/>
      <c r="H34" s="266"/>
      <c r="I34" s="266"/>
      <c r="J34" s="266"/>
      <c r="K34" s="266"/>
      <c r="L34" s="810" t="s">
        <v>14</v>
      </c>
      <c r="M34" s="810"/>
      <c r="N34" s="810"/>
      <c r="O34" s="810"/>
      <c r="P34" s="810"/>
    </row>
    <row r="35" spans="1:16" ht="12.75" customHeight="1" x14ac:dyDescent="0.2">
      <c r="E35" s="266"/>
      <c r="F35" s="641"/>
      <c r="G35" s="641"/>
      <c r="H35" s="641"/>
      <c r="I35" s="641"/>
      <c r="J35" s="641"/>
      <c r="K35" s="641"/>
      <c r="L35" s="810" t="s">
        <v>918</v>
      </c>
      <c r="M35" s="810"/>
      <c r="N35" s="810"/>
      <c r="O35" s="810"/>
      <c r="P35" s="810"/>
    </row>
    <row r="36" spans="1:16" ht="12.75" customHeight="1" x14ac:dyDescent="0.25">
      <c r="A36" s="492" t="s">
        <v>12</v>
      </c>
      <c r="E36" s="641"/>
      <c r="F36" s="641"/>
      <c r="G36" s="641"/>
      <c r="H36" s="641"/>
      <c r="I36" s="641"/>
      <c r="J36" s="641"/>
      <c r="K36" s="641"/>
      <c r="L36" s="657"/>
      <c r="M36" s="207" t="s">
        <v>82</v>
      </c>
      <c r="N36" s="207"/>
      <c r="O36" s="207"/>
      <c r="P36" s="207"/>
    </row>
    <row r="37" spans="1:16" ht="15" customHeight="1" x14ac:dyDescent="0.2">
      <c r="A37" s="266"/>
      <c r="B37" s="266"/>
      <c r="E37" s="256"/>
      <c r="F37" s="266"/>
      <c r="G37" s="266"/>
      <c r="H37" s="266"/>
      <c r="I37" s="266"/>
      <c r="J37" s="266"/>
      <c r="K37" s="266"/>
      <c r="L37" s="266"/>
      <c r="M37" s="266"/>
      <c r="N37" s="266"/>
    </row>
    <row r="38" spans="1:16" s="642" customFormat="1" x14ac:dyDescent="0.2"/>
    <row r="39" spans="1:16" s="642" customFormat="1" x14ac:dyDescent="0.2">
      <c r="A39" s="1105"/>
      <c r="B39" s="1105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</row>
    <row r="40" spans="1:16" s="642" customFormat="1" x14ac:dyDescent="0.2"/>
    <row r="41" spans="1:16" s="642" customFormat="1" x14ac:dyDescent="0.2"/>
    <row r="42" spans="1:16" s="642" customFormat="1" x14ac:dyDescent="0.2"/>
    <row r="43" spans="1:16" s="642" customFormat="1" x14ac:dyDescent="0.2"/>
    <row r="44" spans="1:16" s="642" customFormat="1" x14ac:dyDescent="0.2"/>
    <row r="45" spans="1:16" s="642" customFormat="1" x14ac:dyDescent="0.2"/>
    <row r="46" spans="1:16" s="642" customFormat="1" x14ac:dyDescent="0.2"/>
    <row r="47" spans="1:16" s="642" customFormat="1" x14ac:dyDescent="0.2"/>
    <row r="48" spans="1:16" s="642" customFormat="1" x14ac:dyDescent="0.2"/>
    <row r="49" s="642" customFormat="1" x14ac:dyDescent="0.2"/>
    <row r="50" s="642" customFormat="1" x14ac:dyDescent="0.2"/>
    <row r="51" s="642" customFormat="1" x14ac:dyDescent="0.2"/>
    <row r="52" s="642" customFormat="1" x14ac:dyDescent="0.2"/>
    <row r="53" s="642" customFormat="1" x14ac:dyDescent="0.2"/>
    <row r="54" s="642" customFormat="1" x14ac:dyDescent="0.2"/>
    <row r="55" s="642" customFormat="1" x14ac:dyDescent="0.2"/>
    <row r="56" s="642" customFormat="1" x14ac:dyDescent="0.2"/>
    <row r="57" s="642" customFormat="1" x14ac:dyDescent="0.2"/>
    <row r="58" s="642" customFormat="1" x14ac:dyDescent="0.2"/>
    <row r="59" s="642" customFormat="1" x14ac:dyDescent="0.2"/>
    <row r="60" s="642" customFormat="1" x14ac:dyDescent="0.2"/>
    <row r="61" s="642" customFormat="1" x14ac:dyDescent="0.2"/>
    <row r="62" s="642" customFormat="1" x14ac:dyDescent="0.2"/>
    <row r="63" s="642" customFormat="1" x14ac:dyDescent="0.2"/>
    <row r="64" s="642" customFormat="1" x14ac:dyDescent="0.2"/>
    <row r="65" s="642" customFormat="1" x14ac:dyDescent="0.2"/>
    <row r="66" s="642" customFormat="1" x14ac:dyDescent="0.2"/>
    <row r="67" s="642" customFormat="1" x14ac:dyDescent="0.2"/>
    <row r="68" s="642" customFormat="1" x14ac:dyDescent="0.2"/>
    <row r="69" s="642" customFormat="1" x14ac:dyDescent="0.2"/>
    <row r="70" s="642" customFormat="1" x14ac:dyDescent="0.2"/>
    <row r="71" s="642" customFormat="1" x14ac:dyDescent="0.2"/>
    <row r="72" s="642" customFormat="1" x14ac:dyDescent="0.2"/>
    <row r="73" s="642" customFormat="1" x14ac:dyDescent="0.2"/>
    <row r="74" s="642" customFormat="1" x14ac:dyDescent="0.2"/>
    <row r="75" s="642" customFormat="1" x14ac:dyDescent="0.2"/>
    <row r="76" s="642" customFormat="1" x14ac:dyDescent="0.2"/>
    <row r="77" s="642" customFormat="1" x14ac:dyDescent="0.2"/>
  </sheetData>
  <mergeCells count="18">
    <mergeCell ref="A39:N39"/>
    <mergeCell ref="C8:C9"/>
    <mergeCell ref="H7:N7"/>
    <mergeCell ref="A8:A9"/>
    <mergeCell ref="B8:B9"/>
    <mergeCell ref="D8:D9"/>
    <mergeCell ref="E8:H8"/>
    <mergeCell ref="L33:P33"/>
    <mergeCell ref="L34:P34"/>
    <mergeCell ref="L35:P35"/>
    <mergeCell ref="O8:P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  <pageSetUpPr fitToPage="1"/>
  </sheetPr>
  <dimension ref="A1:AC84"/>
  <sheetViews>
    <sheetView zoomScale="70" zoomScaleNormal="70" zoomScaleSheetLayoutView="100" workbookViewId="0">
      <selection activeCell="M19" sqref="M19"/>
    </sheetView>
  </sheetViews>
  <sheetFormatPr defaultRowHeight="12.75" x14ac:dyDescent="0.2"/>
  <cols>
    <col min="1" max="1" width="5.5703125" style="256" customWidth="1"/>
    <col min="2" max="2" width="18.28515625" style="256" customWidth="1"/>
    <col min="3" max="3" width="13.5703125" style="256" customWidth="1"/>
    <col min="4" max="4" width="12.85546875" style="256" customWidth="1"/>
    <col min="5" max="5" width="9.5703125" style="242" customWidth="1"/>
    <col min="6" max="6" width="9.28515625" style="242" customWidth="1"/>
    <col min="7" max="7" width="8" style="242" customWidth="1"/>
    <col min="8" max="10" width="8.140625" style="242" customWidth="1"/>
    <col min="11" max="11" width="8.42578125" style="242" customWidth="1"/>
    <col min="12" max="12" width="8.140625" style="242" customWidth="1"/>
    <col min="13" max="13" width="11.28515625" style="242" customWidth="1"/>
    <col min="14" max="14" width="11.85546875" style="242" customWidth="1"/>
    <col min="15" max="15" width="9.140625" style="256"/>
    <col min="16" max="16" width="12" style="256" customWidth="1"/>
    <col min="17" max="29" width="9.140625" style="642"/>
    <col min="30" max="16384" width="9.140625" style="242"/>
  </cols>
  <sheetData>
    <row r="1" spans="1:29" ht="12.75" customHeight="1" x14ac:dyDescent="0.2">
      <c r="D1" s="1094"/>
      <c r="E1" s="1094"/>
      <c r="F1" s="256"/>
      <c r="G1" s="256"/>
      <c r="H1" s="256"/>
      <c r="I1" s="256"/>
      <c r="J1" s="256"/>
      <c r="K1" s="256"/>
      <c r="L1" s="256"/>
      <c r="M1" s="1096" t="s">
        <v>652</v>
      </c>
      <c r="N1" s="1096"/>
    </row>
    <row r="2" spans="1:29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29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29" ht="9.75" customHeight="1" x14ac:dyDescent="0.2">
      <c r="A4" s="1111" t="s">
        <v>749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</row>
    <row r="5" spans="1:29" s="243" customFormat="1" ht="18.75" customHeight="1" x14ac:dyDescent="0.2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303"/>
      <c r="P5" s="30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</row>
    <row r="6" spans="1:29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</row>
    <row r="7" spans="1:29" ht="15" x14ac:dyDescent="0.3">
      <c r="A7" s="197" t="s">
        <v>917</v>
      </c>
      <c r="B7" s="197" t="s">
        <v>916</v>
      </c>
      <c r="D7" s="257"/>
      <c r="E7" s="256"/>
      <c r="F7" s="256"/>
      <c r="G7" s="256"/>
      <c r="H7" s="1106"/>
      <c r="I7" s="1106"/>
      <c r="J7" s="1106"/>
      <c r="K7" s="1106"/>
      <c r="L7" s="1106"/>
      <c r="M7" s="1106"/>
      <c r="N7" s="1106"/>
    </row>
    <row r="8" spans="1:29" ht="54.75" customHeight="1" x14ac:dyDescent="0.2">
      <c r="A8" s="1103" t="s">
        <v>2</v>
      </c>
      <c r="B8" s="1103" t="s">
        <v>3</v>
      </c>
      <c r="C8" s="1109" t="s">
        <v>484</v>
      </c>
      <c r="D8" s="1107" t="s">
        <v>83</v>
      </c>
      <c r="E8" s="1097" t="s">
        <v>84</v>
      </c>
      <c r="F8" s="1098"/>
      <c r="G8" s="1098"/>
      <c r="H8" s="1099"/>
      <c r="I8" s="1103" t="s">
        <v>646</v>
      </c>
      <c r="J8" s="1103"/>
      <c r="K8" s="1103"/>
      <c r="L8" s="1103"/>
      <c r="M8" s="1103"/>
      <c r="N8" s="1103"/>
      <c r="O8" s="1104" t="s">
        <v>701</v>
      </c>
      <c r="P8" s="1104"/>
    </row>
    <row r="9" spans="1:29" ht="44.45" customHeight="1" x14ac:dyDescent="0.2">
      <c r="A9" s="1103"/>
      <c r="B9" s="1103"/>
      <c r="C9" s="1110"/>
      <c r="D9" s="1108"/>
      <c r="E9" s="258" t="s">
        <v>88</v>
      </c>
      <c r="F9" s="258" t="s">
        <v>20</v>
      </c>
      <c r="G9" s="258" t="s">
        <v>40</v>
      </c>
      <c r="H9" s="258" t="s">
        <v>680</v>
      </c>
      <c r="I9" s="258" t="s">
        <v>18</v>
      </c>
      <c r="J9" s="258" t="s">
        <v>647</v>
      </c>
      <c r="K9" s="258" t="s">
        <v>648</v>
      </c>
      <c r="L9" s="258" t="s">
        <v>649</v>
      </c>
      <c r="M9" s="258" t="s">
        <v>650</v>
      </c>
      <c r="N9" s="258" t="s">
        <v>651</v>
      </c>
      <c r="O9" s="258" t="s">
        <v>706</v>
      </c>
      <c r="P9" s="258" t="s">
        <v>704</v>
      </c>
    </row>
    <row r="10" spans="1:29" s="307" customFormat="1" x14ac:dyDescent="0.2">
      <c r="A10" s="305">
        <v>1</v>
      </c>
      <c r="B10" s="305">
        <v>2</v>
      </c>
      <c r="C10" s="305">
        <v>3</v>
      </c>
      <c r="D10" s="305">
        <v>8</v>
      </c>
      <c r="E10" s="305">
        <v>9</v>
      </c>
      <c r="F10" s="305">
        <v>10</v>
      </c>
      <c r="G10" s="305">
        <v>11</v>
      </c>
      <c r="H10" s="305">
        <v>12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</row>
    <row r="11" spans="1:29" s="307" customFormat="1" ht="19.5" customHeight="1" x14ac:dyDescent="0.2">
      <c r="A11" s="260">
        <v>1</v>
      </c>
      <c r="B11" s="419" t="s">
        <v>890</v>
      </c>
      <c r="C11" s="717"/>
      <c r="D11" s="719"/>
      <c r="E11" s="547"/>
      <c r="F11" s="547"/>
      <c r="G11" s="545"/>
      <c r="H11" s="545"/>
      <c r="I11" s="545"/>
      <c r="J11" s="545"/>
      <c r="K11" s="545"/>
      <c r="L11" s="545"/>
      <c r="M11" s="545"/>
      <c r="N11" s="545"/>
      <c r="O11" s="547"/>
      <c r="P11" s="548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</row>
    <row r="12" spans="1:29" s="307" customFormat="1" ht="19.5" customHeight="1" x14ac:dyDescent="0.2">
      <c r="A12" s="260">
        <v>2</v>
      </c>
      <c r="B12" s="419" t="s">
        <v>891</v>
      </c>
      <c r="C12" s="717"/>
      <c r="D12" s="719"/>
      <c r="E12" s="547"/>
      <c r="F12" s="547"/>
      <c r="G12" s="545"/>
      <c r="H12" s="545"/>
      <c r="I12" s="545"/>
      <c r="J12" s="545"/>
      <c r="K12" s="545"/>
      <c r="L12" s="545"/>
      <c r="M12" s="545"/>
      <c r="N12" s="545"/>
      <c r="O12" s="547"/>
      <c r="P12" s="548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</row>
    <row r="13" spans="1:29" s="307" customFormat="1" ht="19.5" customHeight="1" x14ac:dyDescent="0.2">
      <c r="A13" s="260">
        <v>3</v>
      </c>
      <c r="B13" s="419" t="s">
        <v>892</v>
      </c>
      <c r="C13" s="717"/>
      <c r="D13" s="719"/>
      <c r="E13" s="547"/>
      <c r="F13" s="547"/>
      <c r="G13" s="545"/>
      <c r="H13" s="545"/>
      <c r="I13" s="545"/>
      <c r="J13" s="545"/>
      <c r="K13" s="545"/>
      <c r="L13" s="545"/>
      <c r="M13" s="545"/>
      <c r="N13" s="545"/>
      <c r="O13" s="547"/>
      <c r="P13" s="548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</row>
    <row r="14" spans="1:29" s="307" customFormat="1" ht="19.5" customHeight="1" x14ac:dyDescent="0.2">
      <c r="A14" s="260">
        <v>4</v>
      </c>
      <c r="B14" s="419" t="s">
        <v>893</v>
      </c>
      <c r="C14" s="717"/>
      <c r="D14" s="719"/>
      <c r="E14" s="547"/>
      <c r="F14" s="547"/>
      <c r="G14" s="545"/>
      <c r="H14" s="545"/>
      <c r="I14" s="545"/>
      <c r="J14" s="545"/>
      <c r="K14" s="545"/>
      <c r="L14" s="545"/>
      <c r="M14" s="545"/>
      <c r="N14" s="545"/>
      <c r="O14" s="547"/>
      <c r="P14" s="548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</row>
    <row r="15" spans="1:29" s="307" customFormat="1" ht="19.5" customHeight="1" x14ac:dyDescent="0.2">
      <c r="A15" s="260">
        <v>5</v>
      </c>
      <c r="B15" s="419" t="s">
        <v>894</v>
      </c>
      <c r="C15" s="717"/>
      <c r="D15" s="719"/>
      <c r="E15" s="547"/>
      <c r="F15" s="547"/>
      <c r="G15" s="545"/>
      <c r="H15" s="545"/>
      <c r="I15" s="545"/>
      <c r="J15" s="545"/>
      <c r="K15" s="545"/>
      <c r="L15" s="545"/>
      <c r="M15" s="545"/>
      <c r="N15" s="545"/>
      <c r="O15" s="547"/>
      <c r="P15" s="548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</row>
    <row r="16" spans="1:29" s="307" customFormat="1" ht="19.5" customHeight="1" x14ac:dyDescent="0.2">
      <c r="A16" s="260">
        <v>6</v>
      </c>
      <c r="B16" s="419" t="s">
        <v>895</v>
      </c>
      <c r="C16" s="717"/>
      <c r="D16" s="719"/>
      <c r="E16" s="547"/>
      <c r="F16" s="547"/>
      <c r="G16" s="545"/>
      <c r="H16" s="545"/>
      <c r="I16" s="545"/>
      <c r="J16" s="545"/>
      <c r="K16" s="545"/>
      <c r="L16" s="545"/>
      <c r="M16" s="545"/>
      <c r="N16" s="545"/>
      <c r="O16" s="547"/>
      <c r="P16" s="548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</row>
    <row r="17" spans="1:29" s="307" customFormat="1" ht="19.5" customHeight="1" x14ac:dyDescent="0.2">
      <c r="A17" s="260">
        <v>7</v>
      </c>
      <c r="B17" s="419" t="s">
        <v>896</v>
      </c>
      <c r="C17" s="717"/>
      <c r="D17" s="719"/>
      <c r="E17" s="547"/>
      <c r="F17" s="547"/>
      <c r="G17" s="545"/>
      <c r="H17" s="545"/>
      <c r="I17" s="545"/>
      <c r="J17" s="545"/>
      <c r="K17" s="545"/>
      <c r="L17" s="545"/>
      <c r="M17" s="545"/>
      <c r="N17" s="545"/>
      <c r="O17" s="547"/>
      <c r="P17" s="548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</row>
    <row r="18" spans="1:29" s="307" customFormat="1" ht="19.5" customHeight="1" x14ac:dyDescent="0.2">
      <c r="A18" s="260">
        <v>8</v>
      </c>
      <c r="B18" s="419" t="s">
        <v>897</v>
      </c>
      <c r="C18" s="717"/>
      <c r="D18" s="719"/>
      <c r="E18" s="547"/>
      <c r="F18" s="547"/>
      <c r="G18" s="545"/>
      <c r="H18" s="545"/>
      <c r="I18" s="545"/>
      <c r="J18" s="545"/>
      <c r="K18" s="545"/>
      <c r="L18" s="545"/>
      <c r="M18" s="545"/>
      <c r="N18" s="545"/>
      <c r="O18" s="547"/>
      <c r="P18" s="548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</row>
    <row r="19" spans="1:29" s="307" customFormat="1" ht="19.5" customHeight="1" x14ac:dyDescent="0.2">
      <c r="A19" s="260">
        <v>9</v>
      </c>
      <c r="B19" s="419" t="s">
        <v>898</v>
      </c>
      <c r="C19" s="717"/>
      <c r="D19" s="719"/>
      <c r="E19" s="547"/>
      <c r="F19" s="547"/>
      <c r="G19" s="545"/>
      <c r="H19" s="545"/>
      <c r="I19" s="545"/>
      <c r="J19" s="545"/>
      <c r="K19" s="545"/>
      <c r="L19" s="545"/>
      <c r="M19" s="545"/>
      <c r="N19" s="545"/>
      <c r="O19" s="547"/>
      <c r="P19" s="548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</row>
    <row r="20" spans="1:29" s="307" customFormat="1" ht="19.5" customHeight="1" x14ac:dyDescent="0.2">
      <c r="A20" s="260">
        <v>10</v>
      </c>
      <c r="B20" s="419" t="s">
        <v>899</v>
      </c>
      <c r="C20" s="717"/>
      <c r="D20" s="719"/>
      <c r="E20" s="547"/>
      <c r="F20" s="547"/>
      <c r="G20" s="545"/>
      <c r="H20" s="545"/>
      <c r="I20" s="545"/>
      <c r="J20" s="545"/>
      <c r="K20" s="545"/>
      <c r="L20" s="545"/>
      <c r="M20" s="545"/>
      <c r="N20" s="545"/>
      <c r="O20" s="547"/>
      <c r="P20" s="548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</row>
    <row r="21" spans="1:29" s="307" customFormat="1" ht="19.5" customHeight="1" x14ac:dyDescent="0.2">
      <c r="A21" s="260">
        <v>11</v>
      </c>
      <c r="B21" s="419" t="s">
        <v>900</v>
      </c>
      <c r="C21" s="717"/>
      <c r="D21" s="719"/>
      <c r="E21" s="547"/>
      <c r="F21" s="547"/>
      <c r="G21" s="545"/>
      <c r="H21" s="545"/>
      <c r="I21" s="545"/>
      <c r="J21" s="545"/>
      <c r="K21" s="545"/>
      <c r="L21" s="545"/>
      <c r="M21" s="545"/>
      <c r="N21" s="545"/>
      <c r="O21" s="547"/>
      <c r="P21" s="548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</row>
    <row r="22" spans="1:29" ht="19.5" customHeight="1" x14ac:dyDescent="0.2">
      <c r="A22" s="260">
        <v>12</v>
      </c>
      <c r="B22" s="419" t="s">
        <v>941</v>
      </c>
      <c r="C22" s="450"/>
      <c r="D22" s="719"/>
      <c r="E22" s="547"/>
      <c r="F22" s="547"/>
      <c r="G22" s="545"/>
      <c r="H22" s="545"/>
      <c r="I22" s="545"/>
      <c r="J22" s="545"/>
      <c r="K22" s="545"/>
      <c r="L22" s="545"/>
      <c r="M22" s="545"/>
      <c r="N22" s="545"/>
      <c r="O22" s="547"/>
      <c r="P22" s="548"/>
    </row>
    <row r="23" spans="1:29" ht="19.5" customHeight="1" x14ac:dyDescent="0.2">
      <c r="A23" s="260">
        <v>13</v>
      </c>
      <c r="B23" s="419" t="s">
        <v>902</v>
      </c>
      <c r="C23" s="450"/>
      <c r="D23" s="719"/>
      <c r="E23" s="547"/>
      <c r="F23" s="547"/>
      <c r="G23" s="545"/>
      <c r="H23" s="545"/>
      <c r="I23" s="545"/>
      <c r="J23" s="545"/>
      <c r="K23" s="545"/>
      <c r="L23" s="545"/>
      <c r="M23" s="545"/>
      <c r="N23" s="545"/>
      <c r="O23" s="547"/>
      <c r="P23" s="548"/>
    </row>
    <row r="24" spans="1:29" ht="19.5" customHeight="1" x14ac:dyDescent="0.2">
      <c r="A24" s="260">
        <v>14</v>
      </c>
      <c r="B24" s="419" t="s">
        <v>903</v>
      </c>
      <c r="C24" s="450"/>
      <c r="D24" s="719"/>
      <c r="E24" s="547"/>
      <c r="F24" s="547"/>
      <c r="G24" s="545"/>
      <c r="H24" s="545"/>
      <c r="I24" s="545"/>
      <c r="J24" s="545"/>
      <c r="K24" s="545"/>
      <c r="L24" s="545"/>
      <c r="M24" s="545"/>
      <c r="N24" s="545"/>
      <c r="O24" s="547"/>
      <c r="P24" s="548"/>
    </row>
    <row r="25" spans="1:29" ht="19.5" customHeight="1" x14ac:dyDescent="0.2">
      <c r="A25" s="260">
        <v>15</v>
      </c>
      <c r="B25" s="419" t="s">
        <v>904</v>
      </c>
      <c r="C25" s="450"/>
      <c r="D25" s="719"/>
      <c r="E25" s="547"/>
      <c r="F25" s="547"/>
      <c r="G25" s="545"/>
      <c r="H25" s="545"/>
      <c r="I25" s="545"/>
      <c r="J25" s="545"/>
      <c r="K25" s="545"/>
      <c r="L25" s="545"/>
      <c r="M25" s="545"/>
      <c r="N25" s="545"/>
      <c r="O25" s="547"/>
      <c r="P25" s="548"/>
    </row>
    <row r="26" spans="1:29" ht="19.5" customHeight="1" x14ac:dyDescent="0.2">
      <c r="A26" s="260">
        <v>16</v>
      </c>
      <c r="B26" s="419" t="s">
        <v>905</v>
      </c>
      <c r="C26" s="450"/>
      <c r="D26" s="719"/>
      <c r="E26" s="547"/>
      <c r="F26" s="547"/>
      <c r="G26" s="545"/>
      <c r="H26" s="545"/>
      <c r="I26" s="545"/>
      <c r="J26" s="545"/>
      <c r="K26" s="545"/>
      <c r="L26" s="545"/>
      <c r="M26" s="545"/>
      <c r="N26" s="545"/>
      <c r="O26" s="547"/>
      <c r="P26" s="548"/>
    </row>
    <row r="27" spans="1:29" ht="19.5" customHeight="1" x14ac:dyDescent="0.2">
      <c r="A27" s="260">
        <v>17</v>
      </c>
      <c r="B27" s="419" t="s">
        <v>906</v>
      </c>
      <c r="C27" s="450"/>
      <c r="D27" s="719"/>
      <c r="E27" s="547"/>
      <c r="F27" s="547"/>
      <c r="G27" s="545"/>
      <c r="H27" s="545"/>
      <c r="I27" s="545"/>
      <c r="J27" s="545"/>
      <c r="K27" s="545"/>
      <c r="L27" s="545"/>
      <c r="M27" s="545"/>
      <c r="N27" s="545"/>
      <c r="O27" s="547"/>
      <c r="P27" s="548"/>
    </row>
    <row r="28" spans="1:29" ht="19.5" customHeight="1" x14ac:dyDescent="0.2">
      <c r="A28" s="260">
        <v>18</v>
      </c>
      <c r="B28" s="419" t="s">
        <v>907</v>
      </c>
      <c r="C28" s="450"/>
      <c r="D28" s="719"/>
      <c r="E28" s="547"/>
      <c r="F28" s="547"/>
      <c r="G28" s="545"/>
      <c r="H28" s="545"/>
      <c r="I28" s="545"/>
      <c r="J28" s="545"/>
      <c r="K28" s="545"/>
      <c r="L28" s="545"/>
      <c r="M28" s="545"/>
      <c r="N28" s="545"/>
      <c r="O28" s="547"/>
      <c r="P28" s="548"/>
    </row>
    <row r="29" spans="1:29" ht="19.5" customHeight="1" x14ac:dyDescent="0.2">
      <c r="A29" s="260">
        <v>19</v>
      </c>
      <c r="B29" s="419" t="s">
        <v>908</v>
      </c>
      <c r="C29" s="450"/>
      <c r="D29" s="719"/>
      <c r="E29" s="547"/>
      <c r="F29" s="547"/>
      <c r="G29" s="545"/>
      <c r="H29" s="545"/>
      <c r="I29" s="545"/>
      <c r="J29" s="545"/>
      <c r="K29" s="545"/>
      <c r="L29" s="545"/>
      <c r="M29" s="545"/>
      <c r="N29" s="545"/>
      <c r="O29" s="547"/>
      <c r="P29" s="548"/>
    </row>
    <row r="30" spans="1:29" ht="19.5" customHeight="1" x14ac:dyDescent="0.2">
      <c r="A30" s="260">
        <v>20</v>
      </c>
      <c r="B30" s="419" t="s">
        <v>909</v>
      </c>
      <c r="C30" s="450"/>
      <c r="D30" s="719"/>
      <c r="E30" s="547"/>
      <c r="F30" s="547"/>
      <c r="G30" s="545"/>
      <c r="H30" s="545"/>
      <c r="I30" s="545"/>
      <c r="J30" s="545"/>
      <c r="K30" s="545"/>
      <c r="L30" s="545"/>
      <c r="M30" s="545"/>
      <c r="N30" s="545"/>
      <c r="O30" s="547"/>
      <c r="P30" s="548"/>
    </row>
    <row r="31" spans="1:29" ht="19.5" customHeight="1" x14ac:dyDescent="0.2">
      <c r="A31" s="260">
        <v>21</v>
      </c>
      <c r="B31" s="419" t="s">
        <v>910</v>
      </c>
      <c r="C31" s="450"/>
      <c r="D31" s="719"/>
      <c r="E31" s="547"/>
      <c r="F31" s="547"/>
      <c r="G31" s="545"/>
      <c r="H31" s="545"/>
      <c r="I31" s="545"/>
      <c r="J31" s="545"/>
      <c r="K31" s="545"/>
      <c r="L31" s="545"/>
      <c r="M31" s="545"/>
      <c r="N31" s="545"/>
      <c r="O31" s="547"/>
      <c r="P31" s="548"/>
    </row>
    <row r="32" spans="1:29" ht="19.5" customHeight="1" x14ac:dyDescent="0.2">
      <c r="A32" s="260">
        <v>22</v>
      </c>
      <c r="B32" s="419" t="s">
        <v>911</v>
      </c>
      <c r="C32" s="450"/>
      <c r="D32" s="719"/>
      <c r="E32" s="547"/>
      <c r="F32" s="547"/>
      <c r="G32" s="545"/>
      <c r="H32" s="545"/>
      <c r="I32" s="545"/>
      <c r="J32" s="545"/>
      <c r="K32" s="545"/>
      <c r="L32" s="545"/>
      <c r="M32" s="545"/>
      <c r="N32" s="545"/>
      <c r="O32" s="547"/>
      <c r="P32" s="548"/>
    </row>
    <row r="33" spans="1:17" ht="19.5" customHeight="1" x14ac:dyDescent="0.2">
      <c r="A33" s="260">
        <v>23</v>
      </c>
      <c r="B33" s="419" t="s">
        <v>912</v>
      </c>
      <c r="C33" s="450"/>
      <c r="D33" s="719"/>
      <c r="E33" s="547"/>
      <c r="F33" s="547"/>
      <c r="G33" s="545"/>
      <c r="H33" s="545"/>
      <c r="I33" s="545"/>
      <c r="J33" s="545"/>
      <c r="K33" s="545"/>
      <c r="L33" s="545"/>
      <c r="M33" s="545"/>
      <c r="N33" s="545"/>
      <c r="O33" s="547"/>
      <c r="P33" s="548"/>
    </row>
    <row r="34" spans="1:17" ht="19.5" customHeight="1" x14ac:dyDescent="0.2">
      <c r="A34" s="260">
        <v>24</v>
      </c>
      <c r="B34" s="419" t="s">
        <v>913</v>
      </c>
      <c r="C34" s="450"/>
      <c r="D34" s="719"/>
      <c r="E34" s="547"/>
      <c r="F34" s="547"/>
      <c r="G34" s="545"/>
      <c r="H34" s="545"/>
      <c r="I34" s="545"/>
      <c r="J34" s="545"/>
      <c r="K34" s="545"/>
      <c r="L34" s="545"/>
      <c r="M34" s="545"/>
      <c r="N34" s="545"/>
      <c r="O34" s="547"/>
      <c r="P34" s="548"/>
    </row>
    <row r="35" spans="1:17" ht="19.5" customHeight="1" x14ac:dyDescent="0.2">
      <c r="A35" s="260">
        <v>25</v>
      </c>
      <c r="B35" s="419" t="s">
        <v>919</v>
      </c>
      <c r="C35" s="450"/>
      <c r="D35" s="719"/>
      <c r="E35" s="547"/>
      <c r="F35" s="547"/>
      <c r="G35" s="545"/>
      <c r="H35" s="545"/>
      <c r="I35" s="545"/>
      <c r="J35" s="545"/>
      <c r="K35" s="545"/>
      <c r="L35" s="545"/>
      <c r="M35" s="545"/>
      <c r="N35" s="545"/>
      <c r="O35" s="547"/>
      <c r="P35" s="548"/>
    </row>
    <row r="36" spans="1:17" ht="19.5" customHeight="1" x14ac:dyDescent="0.2">
      <c r="A36" s="260">
        <v>26</v>
      </c>
      <c r="B36" s="419" t="s">
        <v>914</v>
      </c>
      <c r="C36" s="450"/>
      <c r="D36" s="719"/>
      <c r="E36" s="547"/>
      <c r="F36" s="547"/>
      <c r="G36" s="545"/>
      <c r="H36" s="545"/>
      <c r="I36" s="545"/>
      <c r="J36" s="545"/>
      <c r="K36" s="545"/>
      <c r="L36" s="545"/>
      <c r="M36" s="545"/>
      <c r="N36" s="545"/>
      <c r="O36" s="547"/>
      <c r="P36" s="548"/>
    </row>
    <row r="37" spans="1:17" ht="19.5" customHeight="1" x14ac:dyDescent="0.2">
      <c r="A37" s="260">
        <v>27</v>
      </c>
      <c r="B37" s="419" t="s">
        <v>915</v>
      </c>
      <c r="C37" s="450"/>
      <c r="D37" s="719"/>
      <c r="E37" s="547"/>
      <c r="F37" s="547"/>
      <c r="G37" s="545"/>
      <c r="H37" s="545"/>
      <c r="I37" s="545"/>
      <c r="J37" s="545"/>
      <c r="K37" s="545"/>
      <c r="L37" s="545"/>
      <c r="M37" s="545"/>
      <c r="N37" s="545"/>
      <c r="O37" s="547"/>
      <c r="P37" s="548"/>
    </row>
    <row r="38" spans="1:17" ht="15" x14ac:dyDescent="0.2">
      <c r="A38" s="260" t="s">
        <v>18</v>
      </c>
      <c r="B38" s="261"/>
      <c r="C38" s="261"/>
      <c r="D38" s="718"/>
      <c r="E38" s="721"/>
      <c r="F38" s="721"/>
      <c r="G38" s="261"/>
      <c r="H38" s="261"/>
      <c r="I38" s="261"/>
      <c r="J38" s="261"/>
      <c r="K38" s="261"/>
      <c r="L38" s="261"/>
      <c r="M38" s="261"/>
      <c r="N38" s="261"/>
      <c r="O38" s="547"/>
      <c r="P38" s="548"/>
    </row>
    <row r="39" spans="1:17" x14ac:dyDescent="0.2">
      <c r="A39" s="263"/>
      <c r="B39" s="263"/>
      <c r="C39" s="263"/>
      <c r="D39" s="263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7" x14ac:dyDescent="0.2">
      <c r="A40" s="264"/>
      <c r="B40" s="265"/>
      <c r="C40" s="265"/>
      <c r="D40" s="263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7" x14ac:dyDescent="0.2">
      <c r="A41" s="266"/>
      <c r="B41" s="266"/>
      <c r="C41" s="26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7" x14ac:dyDescent="0.2">
      <c r="A42" s="266"/>
      <c r="B42" s="266"/>
      <c r="C42" s="26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7" x14ac:dyDescent="0.2">
      <c r="A43" s="266"/>
      <c r="B43" s="266"/>
      <c r="C43" s="266"/>
      <c r="E43" s="256"/>
      <c r="F43" s="256"/>
      <c r="G43" s="256"/>
      <c r="H43" s="256"/>
      <c r="I43" s="256"/>
      <c r="J43" s="256"/>
      <c r="K43" s="256"/>
      <c r="L43" s="256"/>
      <c r="M43" s="256"/>
      <c r="N43" s="256"/>
    </row>
    <row r="44" spans="1:17" x14ac:dyDescent="0.2">
      <c r="A44" s="266"/>
      <c r="B44" s="266"/>
      <c r="C44" s="266"/>
      <c r="E44" s="256"/>
      <c r="F44" s="256"/>
      <c r="G44" s="256"/>
      <c r="H44" s="256"/>
      <c r="I44" s="256"/>
      <c r="J44" s="256"/>
      <c r="K44" s="256"/>
      <c r="L44" s="256"/>
      <c r="M44" s="256"/>
      <c r="N44" s="256"/>
    </row>
    <row r="45" spans="1:17" x14ac:dyDescent="0.2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810" t="s">
        <v>13</v>
      </c>
      <c r="M45" s="810"/>
      <c r="N45" s="810"/>
      <c r="O45" s="810"/>
      <c r="P45" s="810"/>
      <c r="Q45" s="641"/>
    </row>
    <row r="46" spans="1:17" ht="12.75" customHeight="1" x14ac:dyDescent="0.2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L46" s="810" t="s">
        <v>14</v>
      </c>
      <c r="M46" s="810"/>
      <c r="N46" s="810"/>
      <c r="O46" s="810"/>
      <c r="P46" s="810"/>
      <c r="Q46" s="641"/>
    </row>
    <row r="47" spans="1:17" ht="12.75" customHeight="1" x14ac:dyDescent="0.2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810" t="s">
        <v>918</v>
      </c>
      <c r="M47" s="810"/>
      <c r="N47" s="810"/>
      <c r="O47" s="810"/>
      <c r="P47" s="810"/>
      <c r="Q47" s="641"/>
    </row>
    <row r="48" spans="1:17" ht="15" x14ac:dyDescent="0.25">
      <c r="A48" s="492" t="s">
        <v>12</v>
      </c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57"/>
      <c r="M48" s="207" t="s">
        <v>82</v>
      </c>
      <c r="N48" s="207"/>
      <c r="O48" s="207"/>
      <c r="P48" s="207"/>
      <c r="Q48" s="641"/>
    </row>
    <row r="49" spans="1:17" s="642" customFormat="1" x14ac:dyDescent="0.2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</row>
    <row r="50" spans="1:17" s="642" customFormat="1" x14ac:dyDescent="0.2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</row>
    <row r="51" spans="1:17" s="642" customFormat="1" x14ac:dyDescent="0.2"/>
    <row r="52" spans="1:17" s="642" customFormat="1" x14ac:dyDescent="0.2"/>
    <row r="53" spans="1:17" s="642" customFormat="1" x14ac:dyDescent="0.2"/>
    <row r="54" spans="1:17" s="642" customFormat="1" x14ac:dyDescent="0.2"/>
    <row r="55" spans="1:17" s="642" customFormat="1" x14ac:dyDescent="0.2"/>
    <row r="56" spans="1:17" s="642" customFormat="1" x14ac:dyDescent="0.2"/>
    <row r="57" spans="1:17" s="642" customFormat="1" x14ac:dyDescent="0.2"/>
    <row r="58" spans="1:17" s="642" customFormat="1" x14ac:dyDescent="0.2"/>
    <row r="59" spans="1:17" s="642" customFormat="1" x14ac:dyDescent="0.2"/>
    <row r="60" spans="1:17" s="642" customFormat="1" x14ac:dyDescent="0.2"/>
    <row r="61" spans="1:17" s="642" customFormat="1" x14ac:dyDescent="0.2"/>
    <row r="62" spans="1:17" s="642" customFormat="1" x14ac:dyDescent="0.2"/>
    <row r="63" spans="1:17" s="642" customFormat="1" x14ac:dyDescent="0.2"/>
    <row r="64" spans="1:17" s="642" customFormat="1" x14ac:dyDescent="0.2"/>
    <row r="65" s="642" customFormat="1" x14ac:dyDescent="0.2"/>
    <row r="66" s="642" customFormat="1" x14ac:dyDescent="0.2"/>
    <row r="67" s="642" customFormat="1" x14ac:dyDescent="0.2"/>
    <row r="68" s="642" customFormat="1" x14ac:dyDescent="0.2"/>
    <row r="69" s="642" customFormat="1" x14ac:dyDescent="0.2"/>
    <row r="70" s="642" customFormat="1" x14ac:dyDescent="0.2"/>
    <row r="71" s="642" customFormat="1" x14ac:dyDescent="0.2"/>
    <row r="72" s="642" customFormat="1" x14ac:dyDescent="0.2"/>
    <row r="73" s="642" customFormat="1" x14ac:dyDescent="0.2"/>
    <row r="74" s="642" customFormat="1" x14ac:dyDescent="0.2"/>
    <row r="75" s="642" customFormat="1" x14ac:dyDescent="0.2"/>
    <row r="76" s="642" customFormat="1" x14ac:dyDescent="0.2"/>
    <row r="77" s="642" customFormat="1" x14ac:dyDescent="0.2"/>
    <row r="78" s="642" customFormat="1" x14ac:dyDescent="0.2"/>
    <row r="79" s="642" customFormat="1" x14ac:dyDescent="0.2"/>
    <row r="80" s="642" customFormat="1" x14ac:dyDescent="0.2"/>
    <row r="81" s="642" customFormat="1" x14ac:dyDescent="0.2"/>
    <row r="82" s="642" customFormat="1" x14ac:dyDescent="0.2"/>
    <row r="83" s="642" customFormat="1" x14ac:dyDescent="0.2"/>
    <row r="84" s="642" customFormat="1" x14ac:dyDescent="0.2"/>
  </sheetData>
  <mergeCells count="17">
    <mergeCell ref="L45:P45"/>
    <mergeCell ref="L46:P46"/>
    <mergeCell ref="L47:P47"/>
    <mergeCell ref="O8:P8"/>
    <mergeCell ref="I8:N8"/>
    <mergeCell ref="A6:N6"/>
    <mergeCell ref="D1:E1"/>
    <mergeCell ref="M1:N1"/>
    <mergeCell ref="A2:N2"/>
    <mergeCell ref="A3:N3"/>
    <mergeCell ref="A4:N5"/>
    <mergeCell ref="C8:C9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  <pageSetUpPr fitToPage="1"/>
  </sheetPr>
  <dimension ref="A1:AM124"/>
  <sheetViews>
    <sheetView zoomScale="70" zoomScaleNormal="70" zoomScaleSheetLayoutView="100" workbookViewId="0">
      <selection activeCell="M25" sqref="M25"/>
    </sheetView>
  </sheetViews>
  <sheetFormatPr defaultRowHeight="12.75" x14ac:dyDescent="0.2"/>
  <cols>
    <col min="1" max="1" width="5.5703125" style="256" customWidth="1"/>
    <col min="2" max="2" width="16" style="256" customWidth="1"/>
    <col min="3" max="3" width="10.28515625" style="256" customWidth="1"/>
    <col min="4" max="4" width="12.85546875" style="256" customWidth="1"/>
    <col min="5" max="5" width="9.5703125" style="242" customWidth="1"/>
    <col min="6" max="6" width="10.28515625" style="242" customWidth="1"/>
    <col min="7" max="7" width="8" style="242" customWidth="1"/>
    <col min="8" max="10" width="8.140625" style="242" customWidth="1"/>
    <col min="11" max="11" width="8.42578125" style="242" customWidth="1"/>
    <col min="12" max="12" width="8.140625" style="242" customWidth="1"/>
    <col min="13" max="13" width="11.28515625" style="242" customWidth="1"/>
    <col min="14" max="14" width="11.85546875" style="242" customWidth="1"/>
    <col min="15" max="15" width="9.140625" style="256"/>
    <col min="16" max="16" width="13" style="256" customWidth="1"/>
    <col min="17" max="39" width="9.140625" style="642"/>
    <col min="40" max="16384" width="9.140625" style="242"/>
  </cols>
  <sheetData>
    <row r="1" spans="1:39" ht="12.75" customHeight="1" x14ac:dyDescent="0.2">
      <c r="D1" s="1094"/>
      <c r="E1" s="1094"/>
      <c r="F1" s="256"/>
      <c r="G1" s="256"/>
      <c r="H1" s="256"/>
      <c r="I1" s="256"/>
      <c r="J1" s="256"/>
      <c r="K1" s="256"/>
      <c r="L1" s="256"/>
      <c r="M1" s="1096" t="s">
        <v>664</v>
      </c>
      <c r="N1" s="1096"/>
    </row>
    <row r="2" spans="1:39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39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39" ht="24" customHeight="1" x14ac:dyDescent="0.2">
      <c r="A4" s="1111" t="s">
        <v>750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</row>
    <row r="5" spans="1:39" s="243" customFormat="1" ht="18.75" customHeight="1" x14ac:dyDescent="0.2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03"/>
      <c r="P5" s="30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</row>
    <row r="6" spans="1:39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</row>
    <row r="7" spans="1:39" ht="15" x14ac:dyDescent="0.3">
      <c r="A7" s="197" t="s">
        <v>917</v>
      </c>
      <c r="B7" s="197" t="s">
        <v>916</v>
      </c>
      <c r="D7" s="257"/>
      <c r="E7" s="256"/>
      <c r="F7" s="256"/>
      <c r="G7" s="256"/>
      <c r="H7" s="1106"/>
      <c r="I7" s="1106"/>
      <c r="J7" s="1106"/>
      <c r="K7" s="1106"/>
      <c r="L7" s="1106"/>
      <c r="M7" s="1106"/>
      <c r="N7" s="1106"/>
    </row>
    <row r="8" spans="1:39" ht="24.75" customHeight="1" x14ac:dyDescent="0.2">
      <c r="A8" s="1103" t="s">
        <v>2</v>
      </c>
      <c r="B8" s="1103" t="s">
        <v>3</v>
      </c>
      <c r="C8" s="1109" t="s">
        <v>484</v>
      </c>
      <c r="D8" s="1107" t="s">
        <v>83</v>
      </c>
      <c r="E8" s="1097" t="s">
        <v>84</v>
      </c>
      <c r="F8" s="1098"/>
      <c r="G8" s="1098"/>
      <c r="H8" s="1099"/>
      <c r="I8" s="1103" t="s">
        <v>646</v>
      </c>
      <c r="J8" s="1103"/>
      <c r="K8" s="1103"/>
      <c r="L8" s="1103"/>
      <c r="M8" s="1103"/>
      <c r="N8" s="1103"/>
      <c r="O8" s="1104" t="s">
        <v>701</v>
      </c>
      <c r="P8" s="1104"/>
    </row>
    <row r="9" spans="1:39" ht="63.75" customHeight="1" x14ac:dyDescent="0.2">
      <c r="A9" s="1103"/>
      <c r="B9" s="1103"/>
      <c r="C9" s="1110"/>
      <c r="D9" s="1108"/>
      <c r="E9" s="258" t="s">
        <v>88</v>
      </c>
      <c r="F9" s="258" t="s">
        <v>20</v>
      </c>
      <c r="G9" s="258" t="s">
        <v>40</v>
      </c>
      <c r="H9" s="258" t="s">
        <v>680</v>
      </c>
      <c r="I9" s="258" t="s">
        <v>18</v>
      </c>
      <c r="J9" s="258" t="s">
        <v>647</v>
      </c>
      <c r="K9" s="258" t="s">
        <v>648</v>
      </c>
      <c r="L9" s="258" t="s">
        <v>649</v>
      </c>
      <c r="M9" s="258" t="s">
        <v>650</v>
      </c>
      <c r="N9" s="258" t="s">
        <v>651</v>
      </c>
      <c r="O9" s="258" t="s">
        <v>706</v>
      </c>
      <c r="P9" s="258" t="s">
        <v>704</v>
      </c>
    </row>
    <row r="10" spans="1:39" s="307" customFormat="1" x14ac:dyDescent="0.2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</row>
    <row r="11" spans="1:39" s="307" customFormat="1" ht="15" x14ac:dyDescent="0.2">
      <c r="A11" s="260">
        <v>1</v>
      </c>
      <c r="B11" s="419" t="s">
        <v>890</v>
      </c>
      <c r="C11" s="722"/>
      <c r="D11" s="723"/>
      <c r="E11" s="548"/>
      <c r="F11" s="548"/>
      <c r="G11" s="545"/>
      <c r="H11" s="545"/>
      <c r="I11" s="545"/>
      <c r="J11" s="545"/>
      <c r="K11" s="545"/>
      <c r="L11" s="545"/>
      <c r="M11" s="545"/>
      <c r="N11" s="545"/>
      <c r="O11" s="547"/>
      <c r="P11" s="548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</row>
    <row r="12" spans="1:39" s="307" customFormat="1" ht="15" x14ac:dyDescent="0.2">
      <c r="A12" s="260">
        <v>2</v>
      </c>
      <c r="B12" s="419" t="s">
        <v>891</v>
      </c>
      <c r="C12" s="722"/>
      <c r="D12" s="723"/>
      <c r="E12" s="548"/>
      <c r="F12" s="548"/>
      <c r="G12" s="545"/>
      <c r="H12" s="545"/>
      <c r="I12" s="545"/>
      <c r="J12" s="545"/>
      <c r="K12" s="545"/>
      <c r="L12" s="545"/>
      <c r="M12" s="545"/>
      <c r="N12" s="545"/>
      <c r="O12" s="547"/>
      <c r="P12" s="548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</row>
    <row r="13" spans="1:39" s="307" customFormat="1" ht="15" x14ac:dyDescent="0.2">
      <c r="A13" s="260">
        <v>3</v>
      </c>
      <c r="B13" s="419" t="s">
        <v>892</v>
      </c>
      <c r="C13" s="722"/>
      <c r="D13" s="723"/>
      <c r="E13" s="548"/>
      <c r="F13" s="548"/>
      <c r="G13" s="545"/>
      <c r="H13" s="545"/>
      <c r="I13" s="545"/>
      <c r="J13" s="545"/>
      <c r="K13" s="545"/>
      <c r="L13" s="545"/>
      <c r="M13" s="545"/>
      <c r="N13" s="545"/>
      <c r="O13" s="547"/>
      <c r="P13" s="548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</row>
    <row r="14" spans="1:39" s="307" customFormat="1" ht="15" x14ac:dyDescent="0.2">
      <c r="A14" s="260">
        <v>4</v>
      </c>
      <c r="B14" s="419" t="s">
        <v>893</v>
      </c>
      <c r="C14" s="722"/>
      <c r="D14" s="723"/>
      <c r="E14" s="548"/>
      <c r="F14" s="548"/>
      <c r="G14" s="545"/>
      <c r="H14" s="545"/>
      <c r="I14" s="545"/>
      <c r="J14" s="545"/>
      <c r="K14" s="545"/>
      <c r="L14" s="545"/>
      <c r="M14" s="545"/>
      <c r="N14" s="545"/>
      <c r="O14" s="547"/>
      <c r="P14" s="548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</row>
    <row r="15" spans="1:39" s="307" customFormat="1" ht="15" x14ac:dyDescent="0.2">
      <c r="A15" s="260">
        <v>5</v>
      </c>
      <c r="B15" s="419" t="s">
        <v>894</v>
      </c>
      <c r="C15" s="722"/>
      <c r="D15" s="723"/>
      <c r="E15" s="548"/>
      <c r="F15" s="548"/>
      <c r="G15" s="545"/>
      <c r="H15" s="545"/>
      <c r="I15" s="545"/>
      <c r="J15" s="545"/>
      <c r="K15" s="545"/>
      <c r="L15" s="545"/>
      <c r="M15" s="545"/>
      <c r="N15" s="545"/>
      <c r="O15" s="547"/>
      <c r="P15" s="548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</row>
    <row r="16" spans="1:39" s="307" customFormat="1" ht="15" x14ac:dyDescent="0.2">
      <c r="A16" s="260">
        <v>6</v>
      </c>
      <c r="B16" s="419" t="s">
        <v>895</v>
      </c>
      <c r="C16" s="722"/>
      <c r="D16" s="723"/>
      <c r="E16" s="548"/>
      <c r="F16" s="548"/>
      <c r="G16" s="545"/>
      <c r="H16" s="545"/>
      <c r="I16" s="545"/>
      <c r="J16" s="545"/>
      <c r="K16" s="545"/>
      <c r="L16" s="545"/>
      <c r="M16" s="545"/>
      <c r="N16" s="545"/>
      <c r="O16" s="547"/>
      <c r="P16" s="548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</row>
    <row r="17" spans="1:39" s="307" customFormat="1" ht="15" x14ac:dyDescent="0.2">
      <c r="A17" s="260">
        <v>7</v>
      </c>
      <c r="B17" s="419" t="s">
        <v>896</v>
      </c>
      <c r="C17" s="722"/>
      <c r="D17" s="723"/>
      <c r="E17" s="548"/>
      <c r="F17" s="548"/>
      <c r="G17" s="545"/>
      <c r="H17" s="545"/>
      <c r="I17" s="545"/>
      <c r="J17" s="545"/>
      <c r="K17" s="545"/>
      <c r="L17" s="545"/>
      <c r="M17" s="545"/>
      <c r="N17" s="545"/>
      <c r="O17" s="547"/>
      <c r="P17" s="548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</row>
    <row r="18" spans="1:39" s="307" customFormat="1" ht="15" x14ac:dyDescent="0.2">
      <c r="A18" s="260">
        <v>8</v>
      </c>
      <c r="B18" s="419" t="s">
        <v>897</v>
      </c>
      <c r="C18" s="722"/>
      <c r="D18" s="723"/>
      <c r="E18" s="548"/>
      <c r="F18" s="548"/>
      <c r="G18" s="545"/>
      <c r="H18" s="545"/>
      <c r="I18" s="545"/>
      <c r="J18" s="545"/>
      <c r="K18" s="545"/>
      <c r="L18" s="545"/>
      <c r="M18" s="545"/>
      <c r="N18" s="545"/>
      <c r="O18" s="547"/>
      <c r="P18" s="548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</row>
    <row r="19" spans="1:39" s="307" customFormat="1" ht="15" x14ac:dyDescent="0.2">
      <c r="A19" s="260">
        <v>9</v>
      </c>
      <c r="B19" s="419" t="s">
        <v>898</v>
      </c>
      <c r="C19" s="722"/>
      <c r="D19" s="723"/>
      <c r="E19" s="548"/>
      <c r="F19" s="548"/>
      <c r="G19" s="545"/>
      <c r="H19" s="545"/>
      <c r="I19" s="545"/>
      <c r="J19" s="545"/>
      <c r="K19" s="545"/>
      <c r="L19" s="545"/>
      <c r="M19" s="545"/>
      <c r="N19" s="545"/>
      <c r="O19" s="547"/>
      <c r="P19" s="548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</row>
    <row r="20" spans="1:39" s="307" customFormat="1" ht="15" x14ac:dyDescent="0.2">
      <c r="A20" s="260">
        <v>10</v>
      </c>
      <c r="B20" s="419" t="s">
        <v>899</v>
      </c>
      <c r="C20" s="722"/>
      <c r="D20" s="723"/>
      <c r="E20" s="548"/>
      <c r="F20" s="548"/>
      <c r="G20" s="545"/>
      <c r="H20" s="545"/>
      <c r="I20" s="545"/>
      <c r="J20" s="545"/>
      <c r="K20" s="545"/>
      <c r="L20" s="545"/>
      <c r="M20" s="545"/>
      <c r="N20" s="545"/>
      <c r="O20" s="547"/>
      <c r="P20" s="548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</row>
    <row r="21" spans="1:39" s="307" customFormat="1" ht="15" x14ac:dyDescent="0.2">
      <c r="A21" s="260">
        <v>11</v>
      </c>
      <c r="B21" s="419" t="s">
        <v>900</v>
      </c>
      <c r="C21" s="722"/>
      <c r="D21" s="723"/>
      <c r="E21" s="548"/>
      <c r="F21" s="548"/>
      <c r="G21" s="545"/>
      <c r="H21" s="545"/>
      <c r="I21" s="545"/>
      <c r="J21" s="545"/>
      <c r="K21" s="545"/>
      <c r="L21" s="545"/>
      <c r="M21" s="545"/>
      <c r="N21" s="545"/>
      <c r="O21" s="547"/>
      <c r="P21" s="548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</row>
    <row r="22" spans="1:39" ht="15" x14ac:dyDescent="0.2">
      <c r="A22" s="260">
        <v>12</v>
      </c>
      <c r="B22" s="419" t="s">
        <v>941</v>
      </c>
      <c r="C22" s="710"/>
      <c r="D22" s="723"/>
      <c r="E22" s="548"/>
      <c r="F22" s="548"/>
      <c r="G22" s="545"/>
      <c r="H22" s="545"/>
      <c r="I22" s="545"/>
      <c r="J22" s="545"/>
      <c r="K22" s="545"/>
      <c r="L22" s="545"/>
      <c r="M22" s="545"/>
      <c r="N22" s="545"/>
      <c r="O22" s="547"/>
      <c r="P22" s="548"/>
    </row>
    <row r="23" spans="1:39" ht="15" x14ac:dyDescent="0.2">
      <c r="A23" s="260">
        <v>13</v>
      </c>
      <c r="B23" s="419" t="s">
        <v>902</v>
      </c>
      <c r="C23" s="710"/>
      <c r="D23" s="723"/>
      <c r="E23" s="548"/>
      <c r="F23" s="548"/>
      <c r="G23" s="545"/>
      <c r="H23" s="545"/>
      <c r="I23" s="545"/>
      <c r="J23" s="545"/>
      <c r="K23" s="545"/>
      <c r="L23" s="545"/>
      <c r="M23" s="545"/>
      <c r="N23" s="545"/>
      <c r="O23" s="547"/>
      <c r="P23" s="548"/>
    </row>
    <row r="24" spans="1:39" ht="15" x14ac:dyDescent="0.2">
      <c r="A24" s="260">
        <v>14</v>
      </c>
      <c r="B24" s="419" t="s">
        <v>903</v>
      </c>
      <c r="C24" s="710"/>
      <c r="D24" s="723"/>
      <c r="E24" s="548"/>
      <c r="F24" s="548"/>
      <c r="G24" s="545"/>
      <c r="H24" s="545"/>
      <c r="I24" s="545"/>
      <c r="J24" s="545"/>
      <c r="K24" s="545"/>
      <c r="L24" s="545"/>
      <c r="M24" s="545"/>
      <c r="N24" s="545"/>
      <c r="O24" s="547"/>
      <c r="P24" s="548"/>
    </row>
    <row r="25" spans="1:39" ht="15" x14ac:dyDescent="0.2">
      <c r="A25" s="260">
        <v>15</v>
      </c>
      <c r="B25" s="419" t="s">
        <v>904</v>
      </c>
      <c r="C25" s="710"/>
      <c r="D25" s="723"/>
      <c r="E25" s="548"/>
      <c r="F25" s="548"/>
      <c r="G25" s="545"/>
      <c r="H25" s="545"/>
      <c r="I25" s="545"/>
      <c r="J25" s="545"/>
      <c r="K25" s="545"/>
      <c r="L25" s="545"/>
      <c r="M25" s="545"/>
      <c r="N25" s="545"/>
      <c r="O25" s="547"/>
      <c r="P25" s="548"/>
    </row>
    <row r="26" spans="1:39" ht="15" x14ac:dyDescent="0.2">
      <c r="A26" s="260">
        <v>16</v>
      </c>
      <c r="B26" s="419" t="s">
        <v>905</v>
      </c>
      <c r="C26" s="710"/>
      <c r="D26" s="723"/>
      <c r="E26" s="548"/>
      <c r="F26" s="548"/>
      <c r="G26" s="545"/>
      <c r="H26" s="545"/>
      <c r="I26" s="545"/>
      <c r="J26" s="545"/>
      <c r="K26" s="545"/>
      <c r="L26" s="545"/>
      <c r="M26" s="545"/>
      <c r="N26" s="545"/>
      <c r="O26" s="547"/>
      <c r="P26" s="548"/>
    </row>
    <row r="27" spans="1:39" ht="15" x14ac:dyDescent="0.2">
      <c r="A27" s="260">
        <v>17</v>
      </c>
      <c r="B27" s="419" t="s">
        <v>906</v>
      </c>
      <c r="C27" s="710"/>
      <c r="D27" s="723"/>
      <c r="E27" s="548"/>
      <c r="F27" s="548"/>
      <c r="G27" s="545"/>
      <c r="H27" s="545"/>
      <c r="I27" s="545"/>
      <c r="J27" s="545"/>
      <c r="K27" s="545"/>
      <c r="L27" s="545"/>
      <c r="M27" s="545"/>
      <c r="N27" s="545"/>
      <c r="O27" s="547"/>
      <c r="P27" s="548"/>
    </row>
    <row r="28" spans="1:39" ht="15" x14ac:dyDescent="0.2">
      <c r="A28" s="260">
        <v>18</v>
      </c>
      <c r="B28" s="419" t="s">
        <v>907</v>
      </c>
      <c r="C28" s="710"/>
      <c r="D28" s="723"/>
      <c r="E28" s="548"/>
      <c r="F28" s="548"/>
      <c r="G28" s="545"/>
      <c r="H28" s="545"/>
      <c r="I28" s="545"/>
      <c r="J28" s="545"/>
      <c r="K28" s="545"/>
      <c r="L28" s="545"/>
      <c r="M28" s="545"/>
      <c r="N28" s="545"/>
      <c r="O28" s="547"/>
      <c r="P28" s="548"/>
    </row>
    <row r="29" spans="1:39" ht="15" x14ac:dyDescent="0.2">
      <c r="A29" s="260">
        <v>19</v>
      </c>
      <c r="B29" s="419" t="s">
        <v>908</v>
      </c>
      <c r="C29" s="710"/>
      <c r="D29" s="723"/>
      <c r="E29" s="548"/>
      <c r="F29" s="548"/>
      <c r="G29" s="545"/>
      <c r="H29" s="545"/>
      <c r="I29" s="545"/>
      <c r="J29" s="545"/>
      <c r="K29" s="545"/>
      <c r="L29" s="545"/>
      <c r="M29" s="545"/>
      <c r="N29" s="545"/>
      <c r="O29" s="547"/>
      <c r="P29" s="548"/>
    </row>
    <row r="30" spans="1:39" ht="15" x14ac:dyDescent="0.2">
      <c r="A30" s="260">
        <v>20</v>
      </c>
      <c r="B30" s="419" t="s">
        <v>909</v>
      </c>
      <c r="C30" s="710"/>
      <c r="D30" s="723"/>
      <c r="E30" s="548"/>
      <c r="F30" s="548"/>
      <c r="G30" s="545"/>
      <c r="H30" s="545"/>
      <c r="I30" s="545"/>
      <c r="J30" s="545"/>
      <c r="K30" s="545"/>
      <c r="L30" s="545"/>
      <c r="M30" s="545"/>
      <c r="N30" s="545"/>
      <c r="O30" s="547"/>
      <c r="P30" s="548"/>
    </row>
    <row r="31" spans="1:39" ht="15" x14ac:dyDescent="0.2">
      <c r="A31" s="260">
        <v>21</v>
      </c>
      <c r="B31" s="419" t="s">
        <v>910</v>
      </c>
      <c r="C31" s="710"/>
      <c r="D31" s="723"/>
      <c r="E31" s="548"/>
      <c r="F31" s="548"/>
      <c r="G31" s="545"/>
      <c r="H31" s="545"/>
      <c r="I31" s="545"/>
      <c r="J31" s="545"/>
      <c r="K31" s="545"/>
      <c r="L31" s="545"/>
      <c r="M31" s="545"/>
      <c r="N31" s="545"/>
      <c r="O31" s="547"/>
      <c r="P31" s="548"/>
    </row>
    <row r="32" spans="1:39" ht="15" x14ac:dyDescent="0.2">
      <c r="A32" s="260">
        <v>22</v>
      </c>
      <c r="B32" s="419" t="s">
        <v>911</v>
      </c>
      <c r="C32" s="710"/>
      <c r="D32" s="723"/>
      <c r="E32" s="548"/>
      <c r="F32" s="548"/>
      <c r="G32" s="545"/>
      <c r="H32" s="545"/>
      <c r="I32" s="545"/>
      <c r="J32" s="545"/>
      <c r="K32" s="545"/>
      <c r="L32" s="545"/>
      <c r="M32" s="545"/>
      <c r="N32" s="545"/>
      <c r="O32" s="547"/>
      <c r="P32" s="548"/>
    </row>
    <row r="33" spans="1:16" ht="15" x14ac:dyDescent="0.2">
      <c r="A33" s="260">
        <v>23</v>
      </c>
      <c r="B33" s="419" t="s">
        <v>912</v>
      </c>
      <c r="C33" s="710"/>
      <c r="D33" s="723"/>
      <c r="E33" s="548"/>
      <c r="F33" s="548"/>
      <c r="G33" s="545"/>
      <c r="H33" s="545"/>
      <c r="I33" s="545"/>
      <c r="J33" s="545"/>
      <c r="K33" s="545"/>
      <c r="L33" s="545"/>
      <c r="M33" s="545"/>
      <c r="N33" s="545"/>
      <c r="O33" s="547"/>
      <c r="P33" s="548"/>
    </row>
    <row r="34" spans="1:16" ht="15" x14ac:dyDescent="0.2">
      <c r="A34" s="260">
        <v>24</v>
      </c>
      <c r="B34" s="419" t="s">
        <v>913</v>
      </c>
      <c r="C34" s="710"/>
      <c r="D34" s="723"/>
      <c r="E34" s="548"/>
      <c r="F34" s="548"/>
      <c r="G34" s="545"/>
      <c r="H34" s="545"/>
      <c r="I34" s="545"/>
      <c r="J34" s="545"/>
      <c r="K34" s="545"/>
      <c r="L34" s="545"/>
      <c r="M34" s="545"/>
      <c r="N34" s="545"/>
      <c r="O34" s="547"/>
      <c r="P34" s="548"/>
    </row>
    <row r="35" spans="1:16" ht="15" x14ac:dyDescent="0.2">
      <c r="A35" s="260">
        <v>25</v>
      </c>
      <c r="B35" s="419" t="s">
        <v>919</v>
      </c>
      <c r="C35" s="710"/>
      <c r="D35" s="723"/>
      <c r="E35" s="548"/>
      <c r="F35" s="548"/>
      <c r="G35" s="545"/>
      <c r="H35" s="545"/>
      <c r="I35" s="545"/>
      <c r="J35" s="545"/>
      <c r="K35" s="545"/>
      <c r="L35" s="545"/>
      <c r="M35" s="545"/>
      <c r="N35" s="545"/>
      <c r="O35" s="547"/>
      <c r="P35" s="548"/>
    </row>
    <row r="36" spans="1:16" ht="15" x14ac:dyDescent="0.2">
      <c r="A36" s="260">
        <v>26</v>
      </c>
      <c r="B36" s="419" t="s">
        <v>914</v>
      </c>
      <c r="C36" s="710"/>
      <c r="D36" s="723"/>
      <c r="E36" s="548"/>
      <c r="F36" s="548"/>
      <c r="G36" s="545"/>
      <c r="H36" s="545"/>
      <c r="I36" s="545"/>
      <c r="J36" s="545"/>
      <c r="K36" s="545"/>
      <c r="L36" s="545"/>
      <c r="M36" s="545"/>
      <c r="N36" s="545"/>
      <c r="O36" s="547"/>
      <c r="P36" s="548"/>
    </row>
    <row r="37" spans="1:16" ht="15" x14ac:dyDescent="0.2">
      <c r="A37" s="260">
        <v>27</v>
      </c>
      <c r="B37" s="419" t="s">
        <v>915</v>
      </c>
      <c r="C37" s="710"/>
      <c r="D37" s="723"/>
      <c r="E37" s="548"/>
      <c r="F37" s="548"/>
      <c r="G37" s="545"/>
      <c r="H37" s="545"/>
      <c r="I37" s="545"/>
      <c r="J37" s="545"/>
      <c r="K37" s="545"/>
      <c r="L37" s="545"/>
      <c r="M37" s="545"/>
      <c r="N37" s="545"/>
      <c r="O37" s="547"/>
      <c r="P37" s="548"/>
    </row>
    <row r="38" spans="1:16" ht="15" x14ac:dyDescent="0.2">
      <c r="A38" s="260" t="s">
        <v>18</v>
      </c>
      <c r="B38" s="261"/>
      <c r="C38" s="261">
        <f>SUM(C11:C37)</f>
        <v>0</v>
      </c>
      <c r="D38" s="723">
        <v>0</v>
      </c>
      <c r="E38" s="724">
        <f>SUM(E11:E37)</f>
        <v>0</v>
      </c>
      <c r="F38" s="724">
        <f>SUM(F11:F37)</f>
        <v>0</v>
      </c>
      <c r="G38" s="261"/>
      <c r="H38" s="261"/>
      <c r="I38" s="261"/>
      <c r="J38" s="261"/>
      <c r="K38" s="261"/>
      <c r="L38" s="261"/>
      <c r="M38" s="261"/>
      <c r="N38" s="261"/>
      <c r="O38" s="547">
        <v>131.5</v>
      </c>
      <c r="P38" s="548">
        <f t="shared" ref="P14:P38" si="0">ROUND(F38*O38/10000,2)</f>
        <v>0</v>
      </c>
    </row>
    <row r="39" spans="1:16" x14ac:dyDescent="0.2">
      <c r="A39" s="263"/>
      <c r="B39" s="263"/>
      <c r="C39" s="263"/>
      <c r="D39" s="263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6" x14ac:dyDescent="0.2">
      <c r="A40" s="264"/>
      <c r="B40" s="265"/>
      <c r="C40" s="265"/>
      <c r="D40" s="263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6" x14ac:dyDescent="0.2">
      <c r="A41" s="266"/>
      <c r="B41" s="266"/>
      <c r="C41" s="26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6" x14ac:dyDescent="0.2">
      <c r="A42" s="266"/>
      <c r="B42" s="266"/>
      <c r="C42" s="26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6" x14ac:dyDescent="0.2">
      <c r="A43" s="266"/>
      <c r="B43" s="266"/>
      <c r="C43" s="266"/>
      <c r="E43" s="256"/>
      <c r="F43" s="256"/>
      <c r="G43" s="256"/>
      <c r="H43" s="256"/>
      <c r="I43" s="256"/>
      <c r="J43" s="256"/>
      <c r="K43" s="256"/>
      <c r="L43" s="810" t="s">
        <v>13</v>
      </c>
      <c r="M43" s="810"/>
      <c r="N43" s="810"/>
      <c r="O43" s="810"/>
      <c r="P43" s="810"/>
    </row>
    <row r="44" spans="1:16" x14ac:dyDescent="0.2">
      <c r="A44" s="266"/>
      <c r="B44" s="266"/>
      <c r="C44" s="266"/>
      <c r="E44" s="256"/>
      <c r="F44" s="256"/>
      <c r="G44" s="256"/>
      <c r="H44" s="256"/>
      <c r="I44" s="256"/>
      <c r="J44" s="256"/>
      <c r="K44" s="256"/>
      <c r="L44" s="810" t="s">
        <v>14</v>
      </c>
      <c r="M44" s="810"/>
      <c r="N44" s="810"/>
      <c r="O44" s="810"/>
      <c r="P44" s="810"/>
    </row>
    <row r="45" spans="1:16" x14ac:dyDescent="0.2">
      <c r="A45" s="266"/>
      <c r="D45" s="266"/>
      <c r="E45" s="256"/>
      <c r="F45" s="266"/>
      <c r="G45" s="266"/>
      <c r="H45" s="266"/>
      <c r="I45" s="266"/>
      <c r="J45" s="266"/>
      <c r="K45" s="266"/>
      <c r="L45" s="810" t="s">
        <v>918</v>
      </c>
      <c r="M45" s="810"/>
      <c r="N45" s="810"/>
      <c r="O45" s="810"/>
      <c r="P45" s="810"/>
    </row>
    <row r="46" spans="1:16" ht="12.75" customHeight="1" x14ac:dyDescent="0.25">
      <c r="A46" s="492" t="s">
        <v>12</v>
      </c>
      <c r="E46" s="266"/>
      <c r="F46" s="641"/>
      <c r="G46" s="641"/>
      <c r="H46" s="641"/>
      <c r="I46" s="641"/>
      <c r="J46" s="641"/>
      <c r="K46" s="641"/>
      <c r="L46" s="657"/>
      <c r="M46" s="207" t="s">
        <v>82</v>
      </c>
      <c r="N46" s="207"/>
      <c r="O46" s="207"/>
      <c r="P46" s="207"/>
    </row>
    <row r="47" spans="1:16" ht="12.75" customHeight="1" x14ac:dyDescent="0.2">
      <c r="E47" s="641"/>
      <c r="F47" s="641"/>
      <c r="G47" s="641"/>
      <c r="H47" s="641"/>
      <c r="I47" s="641"/>
      <c r="J47" s="641"/>
      <c r="K47" s="641"/>
      <c r="L47" s="641"/>
      <c r="M47" s="641"/>
      <c r="N47" s="641"/>
    </row>
    <row r="48" spans="1:16" x14ac:dyDescent="0.2">
      <c r="A48" s="266"/>
      <c r="B48" s="266"/>
      <c r="E48" s="256"/>
      <c r="F48" s="266"/>
      <c r="G48" s="266"/>
      <c r="H48" s="266"/>
      <c r="I48" s="266"/>
      <c r="J48" s="266"/>
      <c r="K48" s="266"/>
      <c r="L48" s="266"/>
      <c r="M48" s="266"/>
      <c r="N48" s="266"/>
    </row>
    <row r="49" spans="1:14" s="642" customFormat="1" x14ac:dyDescent="0.2"/>
    <row r="50" spans="1:14" s="642" customFormat="1" x14ac:dyDescent="0.2">
      <c r="A50" s="1105"/>
      <c r="B50" s="1105"/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  <c r="N50" s="1105"/>
    </row>
    <row r="51" spans="1:14" s="642" customFormat="1" x14ac:dyDescent="0.2"/>
    <row r="52" spans="1:14" s="642" customFormat="1" x14ac:dyDescent="0.2"/>
    <row r="53" spans="1:14" s="642" customFormat="1" x14ac:dyDescent="0.2"/>
    <row r="54" spans="1:14" s="642" customFormat="1" x14ac:dyDescent="0.2"/>
    <row r="55" spans="1:14" s="642" customFormat="1" x14ac:dyDescent="0.2"/>
    <row r="56" spans="1:14" s="642" customFormat="1" x14ac:dyDescent="0.2"/>
    <row r="57" spans="1:14" s="642" customFormat="1" x14ac:dyDescent="0.2"/>
    <row r="58" spans="1:14" s="642" customFormat="1" x14ac:dyDescent="0.2"/>
    <row r="59" spans="1:14" s="642" customFormat="1" x14ac:dyDescent="0.2"/>
    <row r="60" spans="1:14" s="642" customFormat="1" x14ac:dyDescent="0.2"/>
    <row r="61" spans="1:14" s="642" customFormat="1" x14ac:dyDescent="0.2"/>
    <row r="62" spans="1:14" s="642" customFormat="1" x14ac:dyDescent="0.2"/>
    <row r="63" spans="1:14" s="642" customFormat="1" x14ac:dyDescent="0.2"/>
    <row r="64" spans="1:14" s="642" customFormat="1" x14ac:dyDescent="0.2"/>
    <row r="65" s="642" customFormat="1" x14ac:dyDescent="0.2"/>
    <row r="66" s="642" customFormat="1" x14ac:dyDescent="0.2"/>
    <row r="67" s="642" customFormat="1" x14ac:dyDescent="0.2"/>
    <row r="68" s="642" customFormat="1" x14ac:dyDescent="0.2"/>
    <row r="69" s="642" customFormat="1" x14ac:dyDescent="0.2"/>
    <row r="70" s="642" customFormat="1" x14ac:dyDescent="0.2"/>
    <row r="71" s="642" customFormat="1" x14ac:dyDescent="0.2"/>
    <row r="72" s="642" customFormat="1" x14ac:dyDescent="0.2"/>
    <row r="73" s="642" customFormat="1" x14ac:dyDescent="0.2"/>
    <row r="74" s="642" customFormat="1" x14ac:dyDescent="0.2"/>
    <row r="75" s="642" customFormat="1" x14ac:dyDescent="0.2"/>
    <row r="76" s="642" customFormat="1" x14ac:dyDescent="0.2"/>
    <row r="77" s="642" customFormat="1" x14ac:dyDescent="0.2"/>
    <row r="78" s="642" customFormat="1" x14ac:dyDescent="0.2"/>
    <row r="79" s="642" customFormat="1" x14ac:dyDescent="0.2"/>
    <row r="80" s="642" customFormat="1" x14ac:dyDescent="0.2"/>
    <row r="81" s="642" customFormat="1" x14ac:dyDescent="0.2"/>
    <row r="82" s="642" customFormat="1" x14ac:dyDescent="0.2"/>
    <row r="83" s="642" customFormat="1" x14ac:dyDescent="0.2"/>
    <row r="84" s="642" customFormat="1" x14ac:dyDescent="0.2"/>
    <row r="85" s="642" customFormat="1" x14ac:dyDescent="0.2"/>
    <row r="86" s="642" customFormat="1" x14ac:dyDescent="0.2"/>
    <row r="87" s="642" customFormat="1" x14ac:dyDescent="0.2"/>
    <row r="88" s="642" customFormat="1" x14ac:dyDescent="0.2"/>
    <row r="89" s="642" customFormat="1" x14ac:dyDescent="0.2"/>
    <row r="90" s="642" customFormat="1" x14ac:dyDescent="0.2"/>
    <row r="91" s="642" customFormat="1" x14ac:dyDescent="0.2"/>
    <row r="92" s="642" customFormat="1" x14ac:dyDescent="0.2"/>
    <row r="93" s="642" customFormat="1" x14ac:dyDescent="0.2"/>
    <row r="94" s="642" customFormat="1" x14ac:dyDescent="0.2"/>
    <row r="95" s="642" customFormat="1" x14ac:dyDescent="0.2"/>
    <row r="96" s="642" customFormat="1" x14ac:dyDescent="0.2"/>
    <row r="97" s="642" customFormat="1" x14ac:dyDescent="0.2"/>
    <row r="98" s="642" customFormat="1" x14ac:dyDescent="0.2"/>
    <row r="99" s="642" customFormat="1" x14ac:dyDescent="0.2"/>
    <row r="100" s="642" customFormat="1" x14ac:dyDescent="0.2"/>
    <row r="101" s="642" customFormat="1" x14ac:dyDescent="0.2"/>
    <row r="102" s="642" customFormat="1" x14ac:dyDescent="0.2"/>
    <row r="103" s="642" customFormat="1" x14ac:dyDescent="0.2"/>
    <row r="104" s="642" customFormat="1" x14ac:dyDescent="0.2"/>
    <row r="105" s="642" customFormat="1" x14ac:dyDescent="0.2"/>
    <row r="106" s="642" customFormat="1" x14ac:dyDescent="0.2"/>
    <row r="107" s="642" customFormat="1" x14ac:dyDescent="0.2"/>
    <row r="108" s="642" customFormat="1" x14ac:dyDescent="0.2"/>
    <row r="109" s="642" customFormat="1" x14ac:dyDescent="0.2"/>
    <row r="110" s="642" customFormat="1" x14ac:dyDescent="0.2"/>
    <row r="111" s="642" customFormat="1" x14ac:dyDescent="0.2"/>
    <row r="112" s="642" customFormat="1" x14ac:dyDescent="0.2"/>
    <row r="113" s="642" customFormat="1" x14ac:dyDescent="0.2"/>
    <row r="114" s="642" customFormat="1" x14ac:dyDescent="0.2"/>
    <row r="115" s="642" customFormat="1" x14ac:dyDescent="0.2"/>
    <row r="116" s="642" customFormat="1" x14ac:dyDescent="0.2"/>
    <row r="117" s="642" customFormat="1" x14ac:dyDescent="0.2"/>
    <row r="118" s="642" customFormat="1" x14ac:dyDescent="0.2"/>
    <row r="119" s="642" customFormat="1" x14ac:dyDescent="0.2"/>
    <row r="120" s="642" customFormat="1" x14ac:dyDescent="0.2"/>
    <row r="121" s="642" customFormat="1" x14ac:dyDescent="0.2"/>
    <row r="122" s="642" customFormat="1" x14ac:dyDescent="0.2"/>
    <row r="123" s="642" customFormat="1" x14ac:dyDescent="0.2"/>
    <row r="124" s="642" customFormat="1" x14ac:dyDescent="0.2"/>
  </sheetData>
  <mergeCells count="18">
    <mergeCell ref="A50:N50"/>
    <mergeCell ref="H7:N7"/>
    <mergeCell ref="A8:A9"/>
    <mergeCell ref="B8:B9"/>
    <mergeCell ref="C8:C9"/>
    <mergeCell ref="D8:D9"/>
    <mergeCell ref="E8:H8"/>
    <mergeCell ref="L43:P43"/>
    <mergeCell ref="L44:P44"/>
    <mergeCell ref="L45:P45"/>
    <mergeCell ref="O8:P8"/>
    <mergeCell ref="I8:N8"/>
    <mergeCell ref="A6:N6"/>
    <mergeCell ref="D1:E1"/>
    <mergeCell ref="M1:N1"/>
    <mergeCell ref="A2:N2"/>
    <mergeCell ref="A3:N3"/>
    <mergeCell ref="A4:P4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EC23-071C-45C2-B8AA-7B2E36F63EC2}">
  <sheetPr>
    <tabColor rgb="FF92D050"/>
    <pageSetUpPr fitToPage="1"/>
  </sheetPr>
  <dimension ref="A1:AC84"/>
  <sheetViews>
    <sheetView zoomScale="70" zoomScaleNormal="70" zoomScaleSheetLayoutView="100" workbookViewId="0">
      <selection activeCell="S10" sqref="S10"/>
    </sheetView>
  </sheetViews>
  <sheetFormatPr defaultRowHeight="12.75" x14ac:dyDescent="0.2"/>
  <cols>
    <col min="1" max="1" width="5.5703125" style="256" customWidth="1"/>
    <col min="2" max="2" width="18.28515625" style="256" customWidth="1"/>
    <col min="3" max="3" width="13.5703125" style="256" customWidth="1"/>
    <col min="4" max="4" width="12.85546875" style="256" customWidth="1"/>
    <col min="5" max="5" width="9.5703125" style="242" customWidth="1"/>
    <col min="6" max="6" width="9.28515625" style="242" customWidth="1"/>
    <col min="7" max="7" width="8" style="242" customWidth="1"/>
    <col min="8" max="10" width="8.140625" style="242" customWidth="1"/>
    <col min="11" max="11" width="8.42578125" style="242" customWidth="1"/>
    <col min="12" max="12" width="8.140625" style="242" customWidth="1"/>
    <col min="13" max="13" width="11.28515625" style="242" customWidth="1"/>
    <col min="14" max="14" width="11.85546875" style="242" customWidth="1"/>
    <col min="15" max="15" width="9.140625" style="256"/>
    <col min="16" max="16" width="13" style="256" customWidth="1"/>
    <col min="17" max="29" width="9.140625" style="642"/>
    <col min="30" max="16384" width="9.140625" style="242"/>
  </cols>
  <sheetData>
    <row r="1" spans="1:29" ht="12.75" customHeight="1" x14ac:dyDescent="0.2">
      <c r="D1" s="1094"/>
      <c r="E1" s="1094"/>
      <c r="F1" s="256"/>
      <c r="G1" s="256"/>
      <c r="H1" s="256"/>
      <c r="I1" s="256"/>
      <c r="J1" s="256"/>
      <c r="K1" s="256"/>
      <c r="L1" s="256"/>
      <c r="M1" s="1096" t="s">
        <v>1195</v>
      </c>
      <c r="N1" s="1096"/>
    </row>
    <row r="2" spans="1:29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29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29" ht="9.75" customHeight="1" x14ac:dyDescent="0.2">
      <c r="A4" s="1111" t="s">
        <v>1193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</row>
    <row r="5" spans="1:29" s="243" customFormat="1" ht="18.75" customHeight="1" x14ac:dyDescent="0.2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303"/>
      <c r="P5" s="30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</row>
    <row r="6" spans="1:29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</row>
    <row r="7" spans="1:29" ht="15" x14ac:dyDescent="0.3">
      <c r="A7" s="197" t="s">
        <v>917</v>
      </c>
      <c r="B7" s="197" t="s">
        <v>916</v>
      </c>
      <c r="D7" s="806"/>
      <c r="E7" s="256"/>
      <c r="F7" s="256"/>
      <c r="G7" s="256"/>
      <c r="H7" s="1106"/>
      <c r="I7" s="1106"/>
      <c r="J7" s="1106"/>
      <c r="K7" s="1106"/>
      <c r="L7" s="1106"/>
      <c r="M7" s="1106"/>
      <c r="N7" s="1106"/>
    </row>
    <row r="8" spans="1:29" ht="54.75" customHeight="1" x14ac:dyDescent="0.2">
      <c r="A8" s="1103" t="s">
        <v>2</v>
      </c>
      <c r="B8" s="1103" t="s">
        <v>3</v>
      </c>
      <c r="C8" s="1109" t="s">
        <v>484</v>
      </c>
      <c r="D8" s="1107" t="s">
        <v>83</v>
      </c>
      <c r="E8" s="1097" t="s">
        <v>84</v>
      </c>
      <c r="F8" s="1098"/>
      <c r="G8" s="1098"/>
      <c r="H8" s="1099"/>
      <c r="I8" s="1103" t="s">
        <v>646</v>
      </c>
      <c r="J8" s="1103"/>
      <c r="K8" s="1103"/>
      <c r="L8" s="1103"/>
      <c r="M8" s="1103"/>
      <c r="N8" s="1103"/>
      <c r="O8" s="1104" t="s">
        <v>701</v>
      </c>
      <c r="P8" s="1104"/>
    </row>
    <row r="9" spans="1:29" ht="44.45" customHeight="1" x14ac:dyDescent="0.2">
      <c r="A9" s="1103"/>
      <c r="B9" s="1103"/>
      <c r="C9" s="1110"/>
      <c r="D9" s="1108"/>
      <c r="E9" s="807" t="s">
        <v>88</v>
      </c>
      <c r="F9" s="807" t="s">
        <v>20</v>
      </c>
      <c r="G9" s="807" t="s">
        <v>40</v>
      </c>
      <c r="H9" s="807" t="s">
        <v>680</v>
      </c>
      <c r="I9" s="807" t="s">
        <v>18</v>
      </c>
      <c r="J9" s="807" t="s">
        <v>647</v>
      </c>
      <c r="K9" s="807" t="s">
        <v>648</v>
      </c>
      <c r="L9" s="807" t="s">
        <v>649</v>
      </c>
      <c r="M9" s="807" t="s">
        <v>650</v>
      </c>
      <c r="N9" s="807" t="s">
        <v>651</v>
      </c>
      <c r="O9" s="807" t="s">
        <v>706</v>
      </c>
      <c r="P9" s="807" t="s">
        <v>704</v>
      </c>
    </row>
    <row r="10" spans="1:29" s="307" customFormat="1" x14ac:dyDescent="0.2">
      <c r="A10" s="305">
        <v>1</v>
      </c>
      <c r="B10" s="305">
        <v>2</v>
      </c>
      <c r="C10" s="305">
        <v>3</v>
      </c>
      <c r="D10" s="305">
        <v>8</v>
      </c>
      <c r="E10" s="305">
        <v>9</v>
      </c>
      <c r="F10" s="305">
        <v>10</v>
      </c>
      <c r="G10" s="305">
        <v>11</v>
      </c>
      <c r="H10" s="305">
        <v>12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</row>
    <row r="11" spans="1:29" s="307" customFormat="1" ht="19.5" customHeight="1" x14ac:dyDescent="0.2">
      <c r="A11" s="260">
        <v>1</v>
      </c>
      <c r="B11" s="419" t="s">
        <v>890</v>
      </c>
      <c r="C11" s="717">
        <v>48824</v>
      </c>
      <c r="D11" s="719">
        <v>45</v>
      </c>
      <c r="E11" s="547">
        <f>ROUND(C11*D11*100/1000000,2)</f>
        <v>219.71</v>
      </c>
      <c r="F11" s="547">
        <f>E11</f>
        <v>219.71</v>
      </c>
      <c r="G11" s="545"/>
      <c r="H11" s="545"/>
      <c r="I11" s="545"/>
      <c r="J11" s="545"/>
      <c r="K11" s="545"/>
      <c r="L11" s="545"/>
      <c r="M11" s="545"/>
      <c r="N11" s="545"/>
      <c r="O11" s="547">
        <v>131.5</v>
      </c>
      <c r="P11" s="548">
        <f>ROUND(F11*O11/10000,2)</f>
        <v>2.89</v>
      </c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</row>
    <row r="12" spans="1:29" s="307" customFormat="1" ht="19.5" customHeight="1" x14ac:dyDescent="0.2">
      <c r="A12" s="260">
        <v>2</v>
      </c>
      <c r="B12" s="419" t="s">
        <v>891</v>
      </c>
      <c r="C12" s="717">
        <v>112686</v>
      </c>
      <c r="D12" s="719">
        <v>45</v>
      </c>
      <c r="E12" s="547">
        <f t="shared" ref="E12:E37" si="0">ROUND(C12*D12*100/1000000,2)</f>
        <v>507.09</v>
      </c>
      <c r="F12" s="547">
        <f t="shared" ref="F12:F37" si="1">E12</f>
        <v>507.09</v>
      </c>
      <c r="G12" s="545"/>
      <c r="H12" s="545"/>
      <c r="I12" s="545"/>
      <c r="J12" s="545"/>
      <c r="K12" s="545"/>
      <c r="L12" s="545"/>
      <c r="M12" s="545"/>
      <c r="N12" s="545"/>
      <c r="O12" s="547">
        <v>131.5</v>
      </c>
      <c r="P12" s="548">
        <f>ROUND(F12*O12/10000,2)</f>
        <v>6.67</v>
      </c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</row>
    <row r="13" spans="1:29" s="307" customFormat="1" ht="19.5" customHeight="1" x14ac:dyDescent="0.2">
      <c r="A13" s="260">
        <v>3</v>
      </c>
      <c r="B13" s="419" t="s">
        <v>892</v>
      </c>
      <c r="C13" s="717">
        <v>72733</v>
      </c>
      <c r="D13" s="719">
        <v>45</v>
      </c>
      <c r="E13" s="547">
        <f t="shared" si="0"/>
        <v>327.3</v>
      </c>
      <c r="F13" s="547">
        <f t="shared" si="1"/>
        <v>327.3</v>
      </c>
      <c r="G13" s="545"/>
      <c r="H13" s="545"/>
      <c r="I13" s="545"/>
      <c r="J13" s="545"/>
      <c r="K13" s="545"/>
      <c r="L13" s="545"/>
      <c r="M13" s="545"/>
      <c r="N13" s="545"/>
      <c r="O13" s="547">
        <v>131.5</v>
      </c>
      <c r="P13" s="548">
        <f>ROUND(F13*O13/10000,2)</f>
        <v>4.3</v>
      </c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</row>
    <row r="14" spans="1:29" s="307" customFormat="1" ht="19.5" customHeight="1" x14ac:dyDescent="0.2">
      <c r="A14" s="260">
        <v>4</v>
      </c>
      <c r="B14" s="419" t="s">
        <v>893</v>
      </c>
      <c r="C14" s="717">
        <v>68485</v>
      </c>
      <c r="D14" s="719">
        <v>45</v>
      </c>
      <c r="E14" s="547">
        <f t="shared" si="0"/>
        <v>308.18</v>
      </c>
      <c r="F14" s="547">
        <f t="shared" si="1"/>
        <v>308.18</v>
      </c>
      <c r="G14" s="545"/>
      <c r="H14" s="545"/>
      <c r="I14" s="545"/>
      <c r="J14" s="545"/>
      <c r="K14" s="545"/>
      <c r="L14" s="545"/>
      <c r="M14" s="545"/>
      <c r="N14" s="545"/>
      <c r="O14" s="547">
        <v>131.5</v>
      </c>
      <c r="P14" s="548">
        <f t="shared" ref="P14:P38" si="2">ROUND(F14*O14/10000,2)</f>
        <v>4.05</v>
      </c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</row>
    <row r="15" spans="1:29" s="307" customFormat="1" ht="19.5" customHeight="1" x14ac:dyDescent="0.2">
      <c r="A15" s="260">
        <v>5</v>
      </c>
      <c r="B15" s="419" t="s">
        <v>894</v>
      </c>
      <c r="C15" s="717">
        <v>71214</v>
      </c>
      <c r="D15" s="719">
        <v>45</v>
      </c>
      <c r="E15" s="547">
        <f t="shared" si="0"/>
        <v>320.45999999999998</v>
      </c>
      <c r="F15" s="547">
        <f t="shared" si="1"/>
        <v>320.45999999999998</v>
      </c>
      <c r="G15" s="545"/>
      <c r="H15" s="545"/>
      <c r="I15" s="545"/>
      <c r="J15" s="545"/>
      <c r="K15" s="545"/>
      <c r="L15" s="545"/>
      <c r="M15" s="545"/>
      <c r="N15" s="545"/>
      <c r="O15" s="547">
        <v>131.5</v>
      </c>
      <c r="P15" s="548">
        <f t="shared" si="2"/>
        <v>4.21</v>
      </c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</row>
    <row r="16" spans="1:29" s="307" customFormat="1" ht="19.5" customHeight="1" x14ac:dyDescent="0.2">
      <c r="A16" s="260">
        <v>6</v>
      </c>
      <c r="B16" s="419" t="s">
        <v>895</v>
      </c>
      <c r="C16" s="717">
        <v>28859</v>
      </c>
      <c r="D16" s="719">
        <v>45</v>
      </c>
      <c r="E16" s="547">
        <f t="shared" si="0"/>
        <v>129.87</v>
      </c>
      <c r="F16" s="547">
        <f t="shared" si="1"/>
        <v>129.87</v>
      </c>
      <c r="G16" s="545"/>
      <c r="H16" s="545"/>
      <c r="I16" s="545"/>
      <c r="J16" s="545"/>
      <c r="K16" s="545"/>
      <c r="L16" s="545"/>
      <c r="M16" s="545"/>
      <c r="N16" s="545"/>
      <c r="O16" s="547">
        <v>131.5</v>
      </c>
      <c r="P16" s="548">
        <f t="shared" si="2"/>
        <v>1.71</v>
      </c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</row>
    <row r="17" spans="1:29" s="307" customFormat="1" ht="19.5" customHeight="1" x14ac:dyDescent="0.2">
      <c r="A17" s="260">
        <v>7</v>
      </c>
      <c r="B17" s="419" t="s">
        <v>896</v>
      </c>
      <c r="C17" s="717">
        <v>146084</v>
      </c>
      <c r="D17" s="719">
        <v>45</v>
      </c>
      <c r="E17" s="547">
        <f t="shared" si="0"/>
        <v>657.38</v>
      </c>
      <c r="F17" s="547">
        <f t="shared" si="1"/>
        <v>657.38</v>
      </c>
      <c r="G17" s="545"/>
      <c r="H17" s="545"/>
      <c r="I17" s="545"/>
      <c r="J17" s="545"/>
      <c r="K17" s="545"/>
      <c r="L17" s="545"/>
      <c r="M17" s="545"/>
      <c r="N17" s="545"/>
      <c r="O17" s="547">
        <v>131.5</v>
      </c>
      <c r="P17" s="548">
        <f t="shared" si="2"/>
        <v>8.64</v>
      </c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</row>
    <row r="18" spans="1:29" s="307" customFormat="1" ht="19.5" customHeight="1" x14ac:dyDescent="0.2">
      <c r="A18" s="260">
        <v>8</v>
      </c>
      <c r="B18" s="419" t="s">
        <v>897</v>
      </c>
      <c r="C18" s="717">
        <v>25976</v>
      </c>
      <c r="D18" s="719">
        <v>45</v>
      </c>
      <c r="E18" s="547">
        <f t="shared" si="0"/>
        <v>116.89</v>
      </c>
      <c r="F18" s="547">
        <f t="shared" si="1"/>
        <v>116.89</v>
      </c>
      <c r="G18" s="545"/>
      <c r="H18" s="545"/>
      <c r="I18" s="545"/>
      <c r="J18" s="545"/>
      <c r="K18" s="545"/>
      <c r="L18" s="545"/>
      <c r="M18" s="545"/>
      <c r="N18" s="545"/>
      <c r="O18" s="547">
        <v>131.5</v>
      </c>
      <c r="P18" s="548">
        <f t="shared" si="2"/>
        <v>1.54</v>
      </c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</row>
    <row r="19" spans="1:29" s="307" customFormat="1" ht="19.5" customHeight="1" x14ac:dyDescent="0.2">
      <c r="A19" s="260">
        <v>9</v>
      </c>
      <c r="B19" s="419" t="s">
        <v>898</v>
      </c>
      <c r="C19" s="717">
        <v>46101</v>
      </c>
      <c r="D19" s="719">
        <v>45</v>
      </c>
      <c r="E19" s="547">
        <f t="shared" si="0"/>
        <v>207.45</v>
      </c>
      <c r="F19" s="547">
        <f t="shared" si="1"/>
        <v>207.45</v>
      </c>
      <c r="G19" s="545"/>
      <c r="H19" s="545"/>
      <c r="I19" s="545"/>
      <c r="J19" s="545"/>
      <c r="K19" s="545"/>
      <c r="L19" s="545"/>
      <c r="M19" s="545"/>
      <c r="N19" s="545"/>
      <c r="O19" s="547">
        <v>131.5</v>
      </c>
      <c r="P19" s="548">
        <f t="shared" si="2"/>
        <v>2.73</v>
      </c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</row>
    <row r="20" spans="1:29" s="307" customFormat="1" ht="19.5" customHeight="1" x14ac:dyDescent="0.2">
      <c r="A20" s="260">
        <v>10</v>
      </c>
      <c r="B20" s="419" t="s">
        <v>899</v>
      </c>
      <c r="C20" s="717">
        <v>63850</v>
      </c>
      <c r="D20" s="719">
        <v>45</v>
      </c>
      <c r="E20" s="547">
        <f t="shared" si="0"/>
        <v>287.33</v>
      </c>
      <c r="F20" s="547">
        <f t="shared" si="1"/>
        <v>287.33</v>
      </c>
      <c r="G20" s="545"/>
      <c r="H20" s="545"/>
      <c r="I20" s="545"/>
      <c r="J20" s="545"/>
      <c r="K20" s="545"/>
      <c r="L20" s="545"/>
      <c r="M20" s="545"/>
      <c r="N20" s="545"/>
      <c r="O20" s="547">
        <v>131.5</v>
      </c>
      <c r="P20" s="548">
        <f t="shared" si="2"/>
        <v>3.78</v>
      </c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</row>
    <row r="21" spans="1:29" s="307" customFormat="1" ht="19.5" customHeight="1" x14ac:dyDescent="0.2">
      <c r="A21" s="260">
        <v>11</v>
      </c>
      <c r="B21" s="419" t="s">
        <v>900</v>
      </c>
      <c r="C21" s="717">
        <v>49939</v>
      </c>
      <c r="D21" s="719">
        <v>45</v>
      </c>
      <c r="E21" s="547">
        <f t="shared" si="0"/>
        <v>224.73</v>
      </c>
      <c r="F21" s="547">
        <f t="shared" si="1"/>
        <v>224.73</v>
      </c>
      <c r="G21" s="545"/>
      <c r="H21" s="545"/>
      <c r="I21" s="545"/>
      <c r="J21" s="545"/>
      <c r="K21" s="545"/>
      <c r="L21" s="545"/>
      <c r="M21" s="545"/>
      <c r="N21" s="545"/>
      <c r="O21" s="547">
        <v>131.5</v>
      </c>
      <c r="P21" s="548">
        <f t="shared" si="2"/>
        <v>2.96</v>
      </c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</row>
    <row r="22" spans="1:29" ht="19.5" customHeight="1" x14ac:dyDescent="0.2">
      <c r="A22" s="260">
        <v>12</v>
      </c>
      <c r="B22" s="419" t="s">
        <v>941</v>
      </c>
      <c r="C22" s="450">
        <v>101891</v>
      </c>
      <c r="D22" s="719">
        <v>45</v>
      </c>
      <c r="E22" s="547">
        <f t="shared" si="0"/>
        <v>458.51</v>
      </c>
      <c r="F22" s="547">
        <f t="shared" si="1"/>
        <v>458.51</v>
      </c>
      <c r="G22" s="545"/>
      <c r="H22" s="545"/>
      <c r="I22" s="545"/>
      <c r="J22" s="545"/>
      <c r="K22" s="545"/>
      <c r="L22" s="545"/>
      <c r="M22" s="545"/>
      <c r="N22" s="545"/>
      <c r="O22" s="547">
        <v>131.5</v>
      </c>
      <c r="P22" s="548">
        <f t="shared" si="2"/>
        <v>6.03</v>
      </c>
    </row>
    <row r="23" spans="1:29" ht="19.5" customHeight="1" x14ac:dyDescent="0.2">
      <c r="A23" s="260">
        <v>13</v>
      </c>
      <c r="B23" s="419" t="s">
        <v>902</v>
      </c>
      <c r="C23" s="450">
        <v>65460</v>
      </c>
      <c r="D23" s="719">
        <v>45</v>
      </c>
      <c r="E23" s="547">
        <f t="shared" si="0"/>
        <v>294.57</v>
      </c>
      <c r="F23" s="547">
        <f t="shared" si="1"/>
        <v>294.57</v>
      </c>
      <c r="G23" s="545"/>
      <c r="H23" s="545"/>
      <c r="I23" s="545"/>
      <c r="J23" s="545"/>
      <c r="K23" s="545"/>
      <c r="L23" s="545"/>
      <c r="M23" s="545"/>
      <c r="N23" s="545"/>
      <c r="O23" s="547">
        <v>131.5</v>
      </c>
      <c r="P23" s="548">
        <f t="shared" si="2"/>
        <v>3.87</v>
      </c>
    </row>
    <row r="24" spans="1:29" ht="19.5" customHeight="1" x14ac:dyDescent="0.2">
      <c r="A24" s="260">
        <v>14</v>
      </c>
      <c r="B24" s="419" t="s">
        <v>903</v>
      </c>
      <c r="C24" s="450">
        <v>52361</v>
      </c>
      <c r="D24" s="719">
        <v>45</v>
      </c>
      <c r="E24" s="547">
        <f t="shared" si="0"/>
        <v>235.62</v>
      </c>
      <c r="F24" s="547">
        <f t="shared" si="1"/>
        <v>235.62</v>
      </c>
      <c r="G24" s="545"/>
      <c r="H24" s="545"/>
      <c r="I24" s="545"/>
      <c r="J24" s="545"/>
      <c r="K24" s="545"/>
      <c r="L24" s="545"/>
      <c r="M24" s="545"/>
      <c r="N24" s="545"/>
      <c r="O24" s="547">
        <v>131.5</v>
      </c>
      <c r="P24" s="548">
        <f t="shared" si="2"/>
        <v>3.1</v>
      </c>
    </row>
    <row r="25" spans="1:29" ht="19.5" customHeight="1" x14ac:dyDescent="0.2">
      <c r="A25" s="260">
        <v>15</v>
      </c>
      <c r="B25" s="419" t="s">
        <v>904</v>
      </c>
      <c r="C25" s="450">
        <v>74629</v>
      </c>
      <c r="D25" s="719">
        <v>45</v>
      </c>
      <c r="E25" s="547">
        <f t="shared" si="0"/>
        <v>335.83</v>
      </c>
      <c r="F25" s="547">
        <f t="shared" si="1"/>
        <v>335.83</v>
      </c>
      <c r="G25" s="545"/>
      <c r="H25" s="545"/>
      <c r="I25" s="545"/>
      <c r="J25" s="545"/>
      <c r="K25" s="545"/>
      <c r="L25" s="545"/>
      <c r="M25" s="545"/>
      <c r="N25" s="545"/>
      <c r="O25" s="547">
        <v>131.5</v>
      </c>
      <c r="P25" s="548">
        <f t="shared" si="2"/>
        <v>4.42</v>
      </c>
    </row>
    <row r="26" spans="1:29" ht="19.5" customHeight="1" x14ac:dyDescent="0.2">
      <c r="A26" s="260">
        <v>16</v>
      </c>
      <c r="B26" s="419" t="s">
        <v>905</v>
      </c>
      <c r="C26" s="450">
        <v>53454</v>
      </c>
      <c r="D26" s="719">
        <v>45</v>
      </c>
      <c r="E26" s="547">
        <f t="shared" si="0"/>
        <v>240.54</v>
      </c>
      <c r="F26" s="547">
        <f t="shared" si="1"/>
        <v>240.54</v>
      </c>
      <c r="G26" s="545"/>
      <c r="H26" s="545"/>
      <c r="I26" s="545"/>
      <c r="J26" s="545"/>
      <c r="K26" s="545"/>
      <c r="L26" s="545"/>
      <c r="M26" s="545"/>
      <c r="N26" s="545"/>
      <c r="O26" s="547">
        <v>131.5</v>
      </c>
      <c r="P26" s="548">
        <f t="shared" si="2"/>
        <v>3.16</v>
      </c>
    </row>
    <row r="27" spans="1:29" ht="19.5" customHeight="1" x14ac:dyDescent="0.2">
      <c r="A27" s="260">
        <v>17</v>
      </c>
      <c r="B27" s="419" t="s">
        <v>906</v>
      </c>
      <c r="C27" s="450">
        <v>74981</v>
      </c>
      <c r="D27" s="719">
        <v>45</v>
      </c>
      <c r="E27" s="547">
        <f t="shared" si="0"/>
        <v>337.41</v>
      </c>
      <c r="F27" s="547">
        <f t="shared" si="1"/>
        <v>337.41</v>
      </c>
      <c r="G27" s="545"/>
      <c r="H27" s="545"/>
      <c r="I27" s="545"/>
      <c r="J27" s="545"/>
      <c r="K27" s="545"/>
      <c r="L27" s="545"/>
      <c r="M27" s="545"/>
      <c r="N27" s="545"/>
      <c r="O27" s="547">
        <v>131.5</v>
      </c>
      <c r="P27" s="548">
        <f t="shared" si="2"/>
        <v>4.4400000000000004</v>
      </c>
    </row>
    <row r="28" spans="1:29" ht="19.5" customHeight="1" x14ac:dyDescent="0.2">
      <c r="A28" s="260">
        <v>18</v>
      </c>
      <c r="B28" s="419" t="s">
        <v>907</v>
      </c>
      <c r="C28" s="450">
        <v>42131</v>
      </c>
      <c r="D28" s="719">
        <v>45</v>
      </c>
      <c r="E28" s="547">
        <f t="shared" si="0"/>
        <v>189.59</v>
      </c>
      <c r="F28" s="547">
        <f t="shared" si="1"/>
        <v>189.59</v>
      </c>
      <c r="G28" s="545"/>
      <c r="H28" s="545"/>
      <c r="I28" s="545"/>
      <c r="J28" s="545"/>
      <c r="K28" s="545"/>
      <c r="L28" s="545"/>
      <c r="M28" s="545"/>
      <c r="N28" s="545"/>
      <c r="O28" s="547">
        <v>131.5</v>
      </c>
      <c r="P28" s="548">
        <f t="shared" si="2"/>
        <v>2.4900000000000002</v>
      </c>
    </row>
    <row r="29" spans="1:29" ht="19.5" customHeight="1" x14ac:dyDescent="0.2">
      <c r="A29" s="260">
        <v>19</v>
      </c>
      <c r="B29" s="419" t="s">
        <v>908</v>
      </c>
      <c r="C29" s="450">
        <v>76060</v>
      </c>
      <c r="D29" s="719">
        <v>45</v>
      </c>
      <c r="E29" s="547">
        <f t="shared" si="0"/>
        <v>342.27</v>
      </c>
      <c r="F29" s="547">
        <f t="shared" si="1"/>
        <v>342.27</v>
      </c>
      <c r="G29" s="545"/>
      <c r="H29" s="545"/>
      <c r="I29" s="545"/>
      <c r="J29" s="545"/>
      <c r="K29" s="545"/>
      <c r="L29" s="545"/>
      <c r="M29" s="545"/>
      <c r="N29" s="545"/>
      <c r="O29" s="547">
        <v>131.5</v>
      </c>
      <c r="P29" s="548">
        <f t="shared" si="2"/>
        <v>4.5</v>
      </c>
    </row>
    <row r="30" spans="1:29" ht="19.5" customHeight="1" x14ac:dyDescent="0.2">
      <c r="A30" s="260">
        <v>20</v>
      </c>
      <c r="B30" s="419" t="s">
        <v>909</v>
      </c>
      <c r="C30" s="450">
        <v>66454</v>
      </c>
      <c r="D30" s="719">
        <v>45</v>
      </c>
      <c r="E30" s="547">
        <f t="shared" si="0"/>
        <v>299.04000000000002</v>
      </c>
      <c r="F30" s="547">
        <f t="shared" si="1"/>
        <v>299.04000000000002</v>
      </c>
      <c r="G30" s="545"/>
      <c r="H30" s="545"/>
      <c r="I30" s="545"/>
      <c r="J30" s="545"/>
      <c r="K30" s="545"/>
      <c r="L30" s="545"/>
      <c r="M30" s="545"/>
      <c r="N30" s="545"/>
      <c r="O30" s="547">
        <v>131.5</v>
      </c>
      <c r="P30" s="548">
        <f t="shared" si="2"/>
        <v>3.93</v>
      </c>
    </row>
    <row r="31" spans="1:29" ht="19.5" customHeight="1" x14ac:dyDescent="0.2">
      <c r="A31" s="260">
        <v>21</v>
      </c>
      <c r="B31" s="419" t="s">
        <v>910</v>
      </c>
      <c r="C31" s="450">
        <v>15281</v>
      </c>
      <c r="D31" s="719">
        <v>45</v>
      </c>
      <c r="E31" s="547">
        <f t="shared" si="0"/>
        <v>68.760000000000005</v>
      </c>
      <c r="F31" s="547">
        <f t="shared" si="1"/>
        <v>68.760000000000005</v>
      </c>
      <c r="G31" s="545"/>
      <c r="H31" s="545"/>
      <c r="I31" s="545"/>
      <c r="J31" s="545"/>
      <c r="K31" s="545"/>
      <c r="L31" s="545"/>
      <c r="M31" s="545"/>
      <c r="N31" s="545"/>
      <c r="O31" s="547">
        <v>131.5</v>
      </c>
      <c r="P31" s="548">
        <f t="shared" si="2"/>
        <v>0.9</v>
      </c>
    </row>
    <row r="32" spans="1:29" ht="19.5" customHeight="1" x14ac:dyDescent="0.2">
      <c r="A32" s="260">
        <v>22</v>
      </c>
      <c r="B32" s="419" t="s">
        <v>911</v>
      </c>
      <c r="C32" s="450">
        <v>85322</v>
      </c>
      <c r="D32" s="719">
        <v>45</v>
      </c>
      <c r="E32" s="547">
        <f t="shared" si="0"/>
        <v>383.95</v>
      </c>
      <c r="F32" s="547">
        <f t="shared" si="1"/>
        <v>383.95</v>
      </c>
      <c r="G32" s="545"/>
      <c r="H32" s="545"/>
      <c r="I32" s="545"/>
      <c r="J32" s="545"/>
      <c r="K32" s="545"/>
      <c r="L32" s="545"/>
      <c r="M32" s="545"/>
      <c r="N32" s="545"/>
      <c r="O32" s="547">
        <v>131.5</v>
      </c>
      <c r="P32" s="548">
        <f t="shared" si="2"/>
        <v>5.05</v>
      </c>
    </row>
    <row r="33" spans="1:17" ht="19.5" customHeight="1" x14ac:dyDescent="0.2">
      <c r="A33" s="260">
        <v>23</v>
      </c>
      <c r="B33" s="419" t="s">
        <v>912</v>
      </c>
      <c r="C33" s="450">
        <v>97863</v>
      </c>
      <c r="D33" s="719">
        <v>45</v>
      </c>
      <c r="E33" s="547">
        <f t="shared" si="0"/>
        <v>440.38</v>
      </c>
      <c r="F33" s="547">
        <f t="shared" si="1"/>
        <v>440.38</v>
      </c>
      <c r="G33" s="545"/>
      <c r="H33" s="545"/>
      <c r="I33" s="545"/>
      <c r="J33" s="545"/>
      <c r="K33" s="545"/>
      <c r="L33" s="545"/>
      <c r="M33" s="545"/>
      <c r="N33" s="545"/>
      <c r="O33" s="547">
        <v>131.5</v>
      </c>
      <c r="P33" s="548">
        <f t="shared" si="2"/>
        <v>5.79</v>
      </c>
    </row>
    <row r="34" spans="1:17" ht="19.5" customHeight="1" x14ac:dyDescent="0.2">
      <c r="A34" s="260">
        <v>24</v>
      </c>
      <c r="B34" s="419" t="s">
        <v>913</v>
      </c>
      <c r="C34" s="450">
        <v>110059</v>
      </c>
      <c r="D34" s="719">
        <v>45</v>
      </c>
      <c r="E34" s="547">
        <f t="shared" si="0"/>
        <v>495.27</v>
      </c>
      <c r="F34" s="547">
        <f t="shared" si="1"/>
        <v>495.27</v>
      </c>
      <c r="G34" s="545"/>
      <c r="H34" s="545"/>
      <c r="I34" s="545"/>
      <c r="J34" s="545"/>
      <c r="K34" s="545"/>
      <c r="L34" s="545"/>
      <c r="M34" s="545"/>
      <c r="N34" s="545"/>
      <c r="O34" s="547">
        <v>131.5</v>
      </c>
      <c r="P34" s="548">
        <f t="shared" si="2"/>
        <v>6.51</v>
      </c>
    </row>
    <row r="35" spans="1:17" ht="19.5" customHeight="1" x14ac:dyDescent="0.2">
      <c r="A35" s="260">
        <v>25</v>
      </c>
      <c r="B35" s="419" t="s">
        <v>919</v>
      </c>
      <c r="C35" s="450">
        <v>57841</v>
      </c>
      <c r="D35" s="719">
        <v>45</v>
      </c>
      <c r="E35" s="547">
        <f t="shared" si="0"/>
        <v>260.27999999999997</v>
      </c>
      <c r="F35" s="547">
        <f t="shared" si="1"/>
        <v>260.27999999999997</v>
      </c>
      <c r="G35" s="545"/>
      <c r="H35" s="545"/>
      <c r="I35" s="545"/>
      <c r="J35" s="545"/>
      <c r="K35" s="545"/>
      <c r="L35" s="545"/>
      <c r="M35" s="545"/>
      <c r="N35" s="545"/>
      <c r="O35" s="547">
        <v>131.5</v>
      </c>
      <c r="P35" s="548">
        <f t="shared" si="2"/>
        <v>3.42</v>
      </c>
    </row>
    <row r="36" spans="1:17" ht="19.5" customHeight="1" x14ac:dyDescent="0.2">
      <c r="A36" s="260">
        <v>26</v>
      </c>
      <c r="B36" s="419" t="s">
        <v>914</v>
      </c>
      <c r="C36" s="450">
        <v>29719</v>
      </c>
      <c r="D36" s="719">
        <v>45</v>
      </c>
      <c r="E36" s="547">
        <f t="shared" si="0"/>
        <v>133.74</v>
      </c>
      <c r="F36" s="547">
        <f t="shared" si="1"/>
        <v>133.74</v>
      </c>
      <c r="G36" s="545"/>
      <c r="H36" s="545"/>
      <c r="I36" s="545"/>
      <c r="J36" s="545"/>
      <c r="K36" s="545"/>
      <c r="L36" s="545"/>
      <c r="M36" s="545"/>
      <c r="N36" s="545"/>
      <c r="O36" s="547">
        <v>131.5</v>
      </c>
      <c r="P36" s="548">
        <f t="shared" si="2"/>
        <v>1.76</v>
      </c>
    </row>
    <row r="37" spans="1:17" ht="19.5" customHeight="1" x14ac:dyDescent="0.2">
      <c r="A37" s="260">
        <v>27</v>
      </c>
      <c r="B37" s="419" t="s">
        <v>915</v>
      </c>
      <c r="C37" s="450">
        <v>61743</v>
      </c>
      <c r="D37" s="719">
        <v>45</v>
      </c>
      <c r="E37" s="547">
        <f t="shared" si="0"/>
        <v>277.83999999999997</v>
      </c>
      <c r="F37" s="547">
        <f t="shared" si="1"/>
        <v>277.83999999999997</v>
      </c>
      <c r="G37" s="545"/>
      <c r="H37" s="545"/>
      <c r="I37" s="545"/>
      <c r="J37" s="545"/>
      <c r="K37" s="545"/>
      <c r="L37" s="545"/>
      <c r="M37" s="545"/>
      <c r="N37" s="545"/>
      <c r="O37" s="547">
        <v>131.5</v>
      </c>
      <c r="P37" s="548">
        <f t="shared" si="2"/>
        <v>3.65</v>
      </c>
    </row>
    <row r="38" spans="1:17" ht="15" x14ac:dyDescent="0.2">
      <c r="A38" s="260" t="s">
        <v>18</v>
      </c>
      <c r="B38" s="261"/>
      <c r="C38" s="261">
        <f>SUM(C11:C37)</f>
        <v>1800000</v>
      </c>
      <c r="D38" s="718">
        <v>45</v>
      </c>
      <c r="E38" s="721">
        <f>SUM(E11:E37)</f>
        <v>8099.9899999999989</v>
      </c>
      <c r="F38" s="721">
        <f>SUM(F11:F37)</f>
        <v>8099.9899999999989</v>
      </c>
      <c r="G38" s="261"/>
      <c r="H38" s="261"/>
      <c r="I38" s="261"/>
      <c r="J38" s="261"/>
      <c r="K38" s="261"/>
      <c r="L38" s="261"/>
      <c r="M38" s="261"/>
      <c r="N38" s="261"/>
      <c r="O38" s="547">
        <v>131.5</v>
      </c>
      <c r="P38" s="548">
        <f t="shared" si="2"/>
        <v>106.51</v>
      </c>
    </row>
    <row r="39" spans="1:17" x14ac:dyDescent="0.2">
      <c r="A39" s="263"/>
      <c r="B39" s="263"/>
      <c r="C39" s="263"/>
      <c r="D39" s="263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7" x14ac:dyDescent="0.2">
      <c r="A40" s="264"/>
      <c r="B40" s="265"/>
      <c r="C40" s="265"/>
      <c r="D40" s="263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7" x14ac:dyDescent="0.2">
      <c r="A41" s="266"/>
      <c r="B41" s="266"/>
      <c r="C41" s="26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7" x14ac:dyDescent="0.2">
      <c r="A42" s="266"/>
      <c r="B42" s="266"/>
      <c r="C42" s="26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7" x14ac:dyDescent="0.2">
      <c r="A43" s="266"/>
      <c r="B43" s="266"/>
      <c r="C43" s="266"/>
      <c r="E43" s="256"/>
      <c r="F43" s="256"/>
      <c r="G43" s="256"/>
      <c r="H43" s="256"/>
      <c r="I43" s="256"/>
      <c r="J43" s="256"/>
      <c r="K43" s="256"/>
      <c r="L43" s="256"/>
      <c r="M43" s="256"/>
      <c r="N43" s="256"/>
    </row>
    <row r="44" spans="1:17" x14ac:dyDescent="0.2">
      <c r="A44" s="266"/>
      <c r="B44" s="266"/>
      <c r="C44" s="266"/>
      <c r="E44" s="256"/>
      <c r="F44" s="256"/>
      <c r="G44" s="256"/>
      <c r="H44" s="256"/>
      <c r="I44" s="256"/>
      <c r="J44" s="256"/>
      <c r="K44" s="256"/>
      <c r="L44" s="256"/>
      <c r="M44" s="256"/>
      <c r="N44" s="256"/>
    </row>
    <row r="45" spans="1:17" x14ac:dyDescent="0.2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810" t="s">
        <v>13</v>
      </c>
      <c r="M45" s="810"/>
      <c r="N45" s="810"/>
      <c r="O45" s="810"/>
      <c r="P45" s="810"/>
      <c r="Q45" s="641"/>
    </row>
    <row r="46" spans="1:17" ht="12.75" customHeight="1" x14ac:dyDescent="0.2">
      <c r="A46" s="641"/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L46" s="810" t="s">
        <v>14</v>
      </c>
      <c r="M46" s="810"/>
      <c r="N46" s="810"/>
      <c r="O46" s="810"/>
      <c r="P46" s="810"/>
      <c r="Q46" s="641"/>
    </row>
    <row r="47" spans="1:17" ht="12.75" customHeight="1" x14ac:dyDescent="0.2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810" t="s">
        <v>918</v>
      </c>
      <c r="M47" s="810"/>
      <c r="N47" s="810"/>
      <c r="O47" s="810"/>
      <c r="P47" s="810"/>
      <c r="Q47" s="641"/>
    </row>
    <row r="48" spans="1:17" ht="15" x14ac:dyDescent="0.25">
      <c r="A48" s="492" t="s">
        <v>12</v>
      </c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805"/>
      <c r="M48" s="207" t="s">
        <v>82</v>
      </c>
      <c r="N48" s="207"/>
      <c r="O48" s="207"/>
      <c r="P48" s="207"/>
      <c r="Q48" s="641"/>
    </row>
    <row r="49" spans="1:17" s="642" customFormat="1" x14ac:dyDescent="0.2">
      <c r="A49" s="641"/>
      <c r="B49" s="641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</row>
    <row r="50" spans="1:17" s="642" customFormat="1" x14ac:dyDescent="0.2">
      <c r="A50" s="641"/>
      <c r="B50" s="641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</row>
    <row r="51" spans="1:17" s="642" customFormat="1" x14ac:dyDescent="0.2"/>
    <row r="52" spans="1:17" s="642" customFormat="1" x14ac:dyDescent="0.2"/>
    <row r="53" spans="1:17" s="642" customFormat="1" x14ac:dyDescent="0.2"/>
    <row r="54" spans="1:17" s="642" customFormat="1" x14ac:dyDescent="0.2"/>
    <row r="55" spans="1:17" s="642" customFormat="1" x14ac:dyDescent="0.2"/>
    <row r="56" spans="1:17" s="642" customFormat="1" x14ac:dyDescent="0.2"/>
    <row r="57" spans="1:17" s="642" customFormat="1" x14ac:dyDescent="0.2"/>
    <row r="58" spans="1:17" s="642" customFormat="1" x14ac:dyDescent="0.2"/>
    <row r="59" spans="1:17" s="642" customFormat="1" x14ac:dyDescent="0.2"/>
    <row r="60" spans="1:17" s="642" customFormat="1" x14ac:dyDescent="0.2"/>
    <row r="61" spans="1:17" s="642" customFormat="1" x14ac:dyDescent="0.2"/>
    <row r="62" spans="1:17" s="642" customFormat="1" x14ac:dyDescent="0.2"/>
    <row r="63" spans="1:17" s="642" customFormat="1" x14ac:dyDescent="0.2"/>
    <row r="64" spans="1:17" s="642" customFormat="1" x14ac:dyDescent="0.2"/>
    <row r="65" s="642" customFormat="1" x14ac:dyDescent="0.2"/>
    <row r="66" s="642" customFormat="1" x14ac:dyDescent="0.2"/>
    <row r="67" s="642" customFormat="1" x14ac:dyDescent="0.2"/>
    <row r="68" s="642" customFormat="1" x14ac:dyDescent="0.2"/>
    <row r="69" s="642" customFormat="1" x14ac:dyDescent="0.2"/>
    <row r="70" s="642" customFormat="1" x14ac:dyDescent="0.2"/>
    <row r="71" s="642" customFormat="1" x14ac:dyDescent="0.2"/>
    <row r="72" s="642" customFormat="1" x14ac:dyDescent="0.2"/>
    <row r="73" s="642" customFormat="1" x14ac:dyDescent="0.2"/>
    <row r="74" s="642" customFormat="1" x14ac:dyDescent="0.2"/>
    <row r="75" s="642" customFormat="1" x14ac:dyDescent="0.2"/>
    <row r="76" s="642" customFormat="1" x14ac:dyDescent="0.2"/>
    <row r="77" s="642" customFormat="1" x14ac:dyDescent="0.2"/>
    <row r="78" s="642" customFormat="1" x14ac:dyDescent="0.2"/>
    <row r="79" s="642" customFormat="1" x14ac:dyDescent="0.2"/>
    <row r="80" s="642" customFormat="1" x14ac:dyDescent="0.2"/>
    <row r="81" s="642" customFormat="1" x14ac:dyDescent="0.2"/>
    <row r="82" s="642" customFormat="1" x14ac:dyDescent="0.2"/>
    <row r="83" s="642" customFormat="1" x14ac:dyDescent="0.2"/>
    <row r="84" s="642" customFormat="1" x14ac:dyDescent="0.2"/>
  </sheetData>
  <mergeCells count="17">
    <mergeCell ref="O8:P8"/>
    <mergeCell ref="L45:P45"/>
    <mergeCell ref="L46:P46"/>
    <mergeCell ref="L47:P4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89114-3EF7-4FE4-AB48-C0A337361A10}">
  <sheetPr>
    <tabColor rgb="FF92D050"/>
    <pageSetUpPr fitToPage="1"/>
  </sheetPr>
  <dimension ref="A1:AM124"/>
  <sheetViews>
    <sheetView zoomScale="70" zoomScaleNormal="70" zoomScaleSheetLayoutView="100" workbookViewId="0">
      <selection activeCell="T25" sqref="T25"/>
    </sheetView>
  </sheetViews>
  <sheetFormatPr defaultRowHeight="12.75" x14ac:dyDescent="0.2"/>
  <cols>
    <col min="1" max="1" width="5.5703125" style="256" customWidth="1"/>
    <col min="2" max="2" width="16" style="256" customWidth="1"/>
    <col min="3" max="3" width="10.28515625" style="256" customWidth="1"/>
    <col min="4" max="4" width="12.85546875" style="256" customWidth="1"/>
    <col min="5" max="5" width="9.5703125" style="242" customWidth="1"/>
    <col min="6" max="6" width="10.28515625" style="242" customWidth="1"/>
    <col min="7" max="7" width="8" style="242" customWidth="1"/>
    <col min="8" max="10" width="8.140625" style="242" customWidth="1"/>
    <col min="11" max="11" width="8.42578125" style="242" customWidth="1"/>
    <col min="12" max="12" width="8.140625" style="242" customWidth="1"/>
    <col min="13" max="13" width="11.28515625" style="242" customWidth="1"/>
    <col min="14" max="14" width="11.85546875" style="242" customWidth="1"/>
    <col min="15" max="15" width="9.140625" style="256"/>
    <col min="16" max="16" width="13" style="256" customWidth="1"/>
    <col min="17" max="39" width="9.140625" style="642"/>
    <col min="40" max="16384" width="9.140625" style="242"/>
  </cols>
  <sheetData>
    <row r="1" spans="1:39" ht="12.75" customHeight="1" x14ac:dyDescent="0.2">
      <c r="D1" s="1094"/>
      <c r="E1" s="1094"/>
      <c r="F1" s="256"/>
      <c r="G1" s="256"/>
      <c r="H1" s="256"/>
      <c r="I1" s="256"/>
      <c r="J1" s="256"/>
      <c r="K1" s="256"/>
      <c r="L1" s="256"/>
      <c r="M1" s="1096" t="s">
        <v>1194</v>
      </c>
      <c r="N1" s="1096"/>
    </row>
    <row r="2" spans="1:39" ht="15.75" x14ac:dyDescent="0.2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39" ht="18" x14ac:dyDescent="0.25">
      <c r="A3" s="1102" t="s">
        <v>738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39" ht="24" customHeight="1" x14ac:dyDescent="0.2">
      <c r="A4" s="1111" t="s">
        <v>1192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</row>
    <row r="5" spans="1:39" s="243" customFormat="1" ht="18.75" customHeight="1" x14ac:dyDescent="0.2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03"/>
      <c r="P5" s="30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</row>
    <row r="6" spans="1:39" x14ac:dyDescent="0.2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</row>
    <row r="7" spans="1:39" ht="15" x14ac:dyDescent="0.3">
      <c r="A7" s="197" t="s">
        <v>917</v>
      </c>
      <c r="B7" s="197" t="s">
        <v>916</v>
      </c>
      <c r="D7" s="806"/>
      <c r="E7" s="256"/>
      <c r="F7" s="256"/>
      <c r="G7" s="256"/>
      <c r="H7" s="1106"/>
      <c r="I7" s="1106"/>
      <c r="J7" s="1106"/>
      <c r="K7" s="1106"/>
      <c r="L7" s="1106"/>
      <c r="M7" s="1106"/>
      <c r="N7" s="1106"/>
    </row>
    <row r="8" spans="1:39" ht="24.75" customHeight="1" x14ac:dyDescent="0.2">
      <c r="A8" s="1103" t="s">
        <v>2</v>
      </c>
      <c r="B8" s="1103" t="s">
        <v>3</v>
      </c>
      <c r="C8" s="1109" t="s">
        <v>484</v>
      </c>
      <c r="D8" s="1107" t="s">
        <v>83</v>
      </c>
      <c r="E8" s="1097" t="s">
        <v>84</v>
      </c>
      <c r="F8" s="1098"/>
      <c r="G8" s="1098"/>
      <c r="H8" s="1099"/>
      <c r="I8" s="1103" t="s">
        <v>646</v>
      </c>
      <c r="J8" s="1103"/>
      <c r="K8" s="1103"/>
      <c r="L8" s="1103"/>
      <c r="M8" s="1103"/>
      <c r="N8" s="1103"/>
      <c r="O8" s="1104" t="s">
        <v>701</v>
      </c>
      <c r="P8" s="1104"/>
    </row>
    <row r="9" spans="1:39" ht="63.75" customHeight="1" x14ac:dyDescent="0.2">
      <c r="A9" s="1103"/>
      <c r="B9" s="1103"/>
      <c r="C9" s="1110"/>
      <c r="D9" s="1108"/>
      <c r="E9" s="807" t="s">
        <v>88</v>
      </c>
      <c r="F9" s="807" t="s">
        <v>20</v>
      </c>
      <c r="G9" s="807" t="s">
        <v>40</v>
      </c>
      <c r="H9" s="807" t="s">
        <v>680</v>
      </c>
      <c r="I9" s="807" t="s">
        <v>18</v>
      </c>
      <c r="J9" s="807" t="s">
        <v>647</v>
      </c>
      <c r="K9" s="807" t="s">
        <v>648</v>
      </c>
      <c r="L9" s="807" t="s">
        <v>649</v>
      </c>
      <c r="M9" s="807" t="s">
        <v>650</v>
      </c>
      <c r="N9" s="807" t="s">
        <v>651</v>
      </c>
      <c r="O9" s="807" t="s">
        <v>706</v>
      </c>
      <c r="P9" s="807" t="s">
        <v>704</v>
      </c>
    </row>
    <row r="10" spans="1:39" s="307" customFormat="1" x14ac:dyDescent="0.2">
      <c r="A10" s="305">
        <v>1</v>
      </c>
      <c r="B10" s="305">
        <v>2</v>
      </c>
      <c r="C10" s="305">
        <v>3</v>
      </c>
      <c r="D10" s="305">
        <v>4</v>
      </c>
      <c r="E10" s="305">
        <v>5</v>
      </c>
      <c r="F10" s="305">
        <v>6</v>
      </c>
      <c r="G10" s="305">
        <v>7</v>
      </c>
      <c r="H10" s="305">
        <v>8</v>
      </c>
      <c r="I10" s="305">
        <v>9</v>
      </c>
      <c r="J10" s="305">
        <v>10</v>
      </c>
      <c r="K10" s="305">
        <v>11</v>
      </c>
      <c r="L10" s="305">
        <v>12</v>
      </c>
      <c r="M10" s="305">
        <v>13</v>
      </c>
      <c r="N10" s="305">
        <v>14</v>
      </c>
      <c r="O10" s="305">
        <v>15</v>
      </c>
      <c r="P10" s="305">
        <v>16</v>
      </c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</row>
    <row r="11" spans="1:39" s="307" customFormat="1" ht="15" x14ac:dyDescent="0.2">
      <c r="A11" s="260">
        <v>1</v>
      </c>
      <c r="B11" s="419" t="s">
        <v>890</v>
      </c>
      <c r="C11" s="722">
        <v>32634</v>
      </c>
      <c r="D11" s="723">
        <v>45</v>
      </c>
      <c r="E11" s="548">
        <f>ROUND(C11*D11*150/1000000,2)</f>
        <v>220.28</v>
      </c>
      <c r="F11" s="548">
        <f>E11</f>
        <v>220.28</v>
      </c>
      <c r="G11" s="545"/>
      <c r="H11" s="545"/>
      <c r="I11" s="545"/>
      <c r="J11" s="545"/>
      <c r="K11" s="545"/>
      <c r="L11" s="545"/>
      <c r="M11" s="545"/>
      <c r="N11" s="545"/>
      <c r="O11" s="547">
        <v>131.5</v>
      </c>
      <c r="P11" s="548">
        <f>ROUND(F11*O11/10000,2)</f>
        <v>2.9</v>
      </c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</row>
    <row r="12" spans="1:39" s="307" customFormat="1" ht="15" x14ac:dyDescent="0.2">
      <c r="A12" s="260">
        <v>2</v>
      </c>
      <c r="B12" s="419" t="s">
        <v>891</v>
      </c>
      <c r="C12" s="722">
        <v>71039</v>
      </c>
      <c r="D12" s="723">
        <v>45</v>
      </c>
      <c r="E12" s="548">
        <f t="shared" ref="E12:E37" si="0">ROUND(C12*D12*150/1000000,2)</f>
        <v>479.51</v>
      </c>
      <c r="F12" s="548">
        <f t="shared" ref="F12:F37" si="1">E12</f>
        <v>479.51</v>
      </c>
      <c r="G12" s="545"/>
      <c r="H12" s="545"/>
      <c r="I12" s="545"/>
      <c r="J12" s="545"/>
      <c r="K12" s="545"/>
      <c r="L12" s="545"/>
      <c r="M12" s="545"/>
      <c r="N12" s="545"/>
      <c r="O12" s="547">
        <v>131.5</v>
      </c>
      <c r="P12" s="548">
        <f>ROUND(F12*O12/10000,2)</f>
        <v>6.31</v>
      </c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</row>
    <row r="13" spans="1:39" s="307" customFormat="1" ht="15" x14ac:dyDescent="0.2">
      <c r="A13" s="260">
        <v>3</v>
      </c>
      <c r="B13" s="419" t="s">
        <v>892</v>
      </c>
      <c r="C13" s="722">
        <v>39498</v>
      </c>
      <c r="D13" s="723">
        <v>45</v>
      </c>
      <c r="E13" s="548">
        <f t="shared" si="0"/>
        <v>266.61</v>
      </c>
      <c r="F13" s="548">
        <f t="shared" si="1"/>
        <v>266.61</v>
      </c>
      <c r="G13" s="545"/>
      <c r="H13" s="545"/>
      <c r="I13" s="545"/>
      <c r="J13" s="545"/>
      <c r="K13" s="545"/>
      <c r="L13" s="545"/>
      <c r="M13" s="545"/>
      <c r="N13" s="545"/>
      <c r="O13" s="547">
        <v>131.5</v>
      </c>
      <c r="P13" s="548">
        <f>ROUND(F13*O13/10000,2)</f>
        <v>3.51</v>
      </c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</row>
    <row r="14" spans="1:39" s="307" customFormat="1" ht="15" x14ac:dyDescent="0.2">
      <c r="A14" s="260">
        <v>4</v>
      </c>
      <c r="B14" s="419" t="s">
        <v>893</v>
      </c>
      <c r="C14" s="722">
        <v>35955</v>
      </c>
      <c r="D14" s="723">
        <v>45</v>
      </c>
      <c r="E14" s="548">
        <f t="shared" si="0"/>
        <v>242.7</v>
      </c>
      <c r="F14" s="548">
        <f t="shared" si="1"/>
        <v>242.7</v>
      </c>
      <c r="G14" s="545"/>
      <c r="H14" s="545"/>
      <c r="I14" s="545"/>
      <c r="J14" s="545"/>
      <c r="K14" s="545"/>
      <c r="L14" s="545"/>
      <c r="M14" s="545"/>
      <c r="N14" s="545"/>
      <c r="O14" s="547">
        <v>131.5</v>
      </c>
      <c r="P14" s="548">
        <f t="shared" ref="P14:P38" si="2">ROUND(F14*O14/10000,2)</f>
        <v>3.19</v>
      </c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</row>
    <row r="15" spans="1:39" s="307" customFormat="1" ht="15" x14ac:dyDescent="0.2">
      <c r="A15" s="260">
        <v>5</v>
      </c>
      <c r="B15" s="419" t="s">
        <v>894</v>
      </c>
      <c r="C15" s="722">
        <v>46645</v>
      </c>
      <c r="D15" s="723">
        <v>45</v>
      </c>
      <c r="E15" s="548">
        <f t="shared" si="0"/>
        <v>314.85000000000002</v>
      </c>
      <c r="F15" s="548">
        <f t="shared" si="1"/>
        <v>314.85000000000002</v>
      </c>
      <c r="G15" s="545"/>
      <c r="H15" s="545"/>
      <c r="I15" s="545"/>
      <c r="J15" s="545"/>
      <c r="K15" s="545"/>
      <c r="L15" s="545"/>
      <c r="M15" s="545"/>
      <c r="N15" s="545"/>
      <c r="O15" s="547">
        <v>131.5</v>
      </c>
      <c r="P15" s="548">
        <f t="shared" si="2"/>
        <v>4.1399999999999997</v>
      </c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</row>
    <row r="16" spans="1:39" s="307" customFormat="1" ht="15" x14ac:dyDescent="0.2">
      <c r="A16" s="260">
        <v>6</v>
      </c>
      <c r="B16" s="419" t="s">
        <v>895</v>
      </c>
      <c r="C16" s="722">
        <v>10901</v>
      </c>
      <c r="D16" s="723">
        <v>45</v>
      </c>
      <c r="E16" s="548">
        <f t="shared" si="0"/>
        <v>73.58</v>
      </c>
      <c r="F16" s="548">
        <f t="shared" si="1"/>
        <v>73.58</v>
      </c>
      <c r="G16" s="545"/>
      <c r="H16" s="545"/>
      <c r="I16" s="545"/>
      <c r="J16" s="545"/>
      <c r="K16" s="545"/>
      <c r="L16" s="545"/>
      <c r="M16" s="545"/>
      <c r="N16" s="545"/>
      <c r="O16" s="547">
        <v>131.5</v>
      </c>
      <c r="P16" s="548">
        <f t="shared" si="2"/>
        <v>0.97</v>
      </c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</row>
    <row r="17" spans="1:39" s="307" customFormat="1" ht="15" x14ac:dyDescent="0.2">
      <c r="A17" s="260">
        <v>7</v>
      </c>
      <c r="B17" s="419" t="s">
        <v>896</v>
      </c>
      <c r="C17" s="722">
        <v>90381</v>
      </c>
      <c r="D17" s="723">
        <v>45</v>
      </c>
      <c r="E17" s="548">
        <f t="shared" si="0"/>
        <v>610.07000000000005</v>
      </c>
      <c r="F17" s="548">
        <f t="shared" si="1"/>
        <v>610.07000000000005</v>
      </c>
      <c r="G17" s="545"/>
      <c r="H17" s="545"/>
      <c r="I17" s="545"/>
      <c r="J17" s="545"/>
      <c r="K17" s="545"/>
      <c r="L17" s="545"/>
      <c r="M17" s="545"/>
      <c r="N17" s="545"/>
      <c r="O17" s="547">
        <v>131.5</v>
      </c>
      <c r="P17" s="548">
        <f t="shared" si="2"/>
        <v>8.02</v>
      </c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</row>
    <row r="18" spans="1:39" s="307" customFormat="1" ht="15" x14ac:dyDescent="0.2">
      <c r="A18" s="260">
        <v>8</v>
      </c>
      <c r="B18" s="419" t="s">
        <v>897</v>
      </c>
      <c r="C18" s="722">
        <v>10743</v>
      </c>
      <c r="D18" s="723">
        <v>45</v>
      </c>
      <c r="E18" s="548">
        <f t="shared" si="0"/>
        <v>72.52</v>
      </c>
      <c r="F18" s="548">
        <f t="shared" si="1"/>
        <v>72.52</v>
      </c>
      <c r="G18" s="545"/>
      <c r="H18" s="545"/>
      <c r="I18" s="545"/>
      <c r="J18" s="545"/>
      <c r="K18" s="545"/>
      <c r="L18" s="545"/>
      <c r="M18" s="545"/>
      <c r="N18" s="545"/>
      <c r="O18" s="547">
        <v>131.5</v>
      </c>
      <c r="P18" s="548">
        <f t="shared" si="2"/>
        <v>0.95</v>
      </c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</row>
    <row r="19" spans="1:39" s="307" customFormat="1" ht="15" x14ac:dyDescent="0.2">
      <c r="A19" s="260">
        <v>9</v>
      </c>
      <c r="B19" s="419" t="s">
        <v>898</v>
      </c>
      <c r="C19" s="722">
        <v>31358</v>
      </c>
      <c r="D19" s="723">
        <v>45</v>
      </c>
      <c r="E19" s="548">
        <f t="shared" si="0"/>
        <v>211.67</v>
      </c>
      <c r="F19" s="548">
        <f t="shared" si="1"/>
        <v>211.67</v>
      </c>
      <c r="G19" s="545"/>
      <c r="H19" s="545"/>
      <c r="I19" s="545"/>
      <c r="J19" s="545"/>
      <c r="K19" s="545"/>
      <c r="L19" s="545"/>
      <c r="M19" s="545"/>
      <c r="N19" s="545"/>
      <c r="O19" s="547">
        <v>131.5</v>
      </c>
      <c r="P19" s="548">
        <f t="shared" si="2"/>
        <v>2.78</v>
      </c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</row>
    <row r="20" spans="1:39" s="307" customFormat="1" ht="15" x14ac:dyDescent="0.2">
      <c r="A20" s="260">
        <v>10</v>
      </c>
      <c r="B20" s="419" t="s">
        <v>899</v>
      </c>
      <c r="C20" s="722">
        <v>45546</v>
      </c>
      <c r="D20" s="723">
        <v>45</v>
      </c>
      <c r="E20" s="548">
        <f t="shared" si="0"/>
        <v>307.44</v>
      </c>
      <c r="F20" s="548">
        <f t="shared" si="1"/>
        <v>307.44</v>
      </c>
      <c r="G20" s="545"/>
      <c r="H20" s="545"/>
      <c r="I20" s="545"/>
      <c r="J20" s="545"/>
      <c r="K20" s="545"/>
      <c r="L20" s="545"/>
      <c r="M20" s="545"/>
      <c r="N20" s="545"/>
      <c r="O20" s="547">
        <v>131.5</v>
      </c>
      <c r="P20" s="548">
        <f t="shared" si="2"/>
        <v>4.04</v>
      </c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</row>
    <row r="21" spans="1:39" s="307" customFormat="1" ht="15" x14ac:dyDescent="0.2">
      <c r="A21" s="260">
        <v>11</v>
      </c>
      <c r="B21" s="419" t="s">
        <v>900</v>
      </c>
      <c r="C21" s="722">
        <v>29837</v>
      </c>
      <c r="D21" s="723">
        <v>45</v>
      </c>
      <c r="E21" s="548">
        <f t="shared" si="0"/>
        <v>201.4</v>
      </c>
      <c r="F21" s="548">
        <f t="shared" si="1"/>
        <v>201.4</v>
      </c>
      <c r="G21" s="545"/>
      <c r="H21" s="545"/>
      <c r="I21" s="545"/>
      <c r="J21" s="545"/>
      <c r="K21" s="545"/>
      <c r="L21" s="545"/>
      <c r="M21" s="545"/>
      <c r="N21" s="545"/>
      <c r="O21" s="547">
        <v>131.5</v>
      </c>
      <c r="P21" s="548">
        <f t="shared" si="2"/>
        <v>2.65</v>
      </c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</row>
    <row r="22" spans="1:39" ht="15" x14ac:dyDescent="0.2">
      <c r="A22" s="260">
        <v>12</v>
      </c>
      <c r="B22" s="419" t="s">
        <v>941</v>
      </c>
      <c r="C22" s="804">
        <v>66470</v>
      </c>
      <c r="D22" s="723">
        <v>45</v>
      </c>
      <c r="E22" s="548">
        <f t="shared" si="0"/>
        <v>448.67</v>
      </c>
      <c r="F22" s="548">
        <f t="shared" si="1"/>
        <v>448.67</v>
      </c>
      <c r="G22" s="545"/>
      <c r="H22" s="545"/>
      <c r="I22" s="545"/>
      <c r="J22" s="545"/>
      <c r="K22" s="545"/>
      <c r="L22" s="545"/>
      <c r="M22" s="545"/>
      <c r="N22" s="545"/>
      <c r="O22" s="547">
        <v>131.5</v>
      </c>
      <c r="P22" s="548">
        <f t="shared" si="2"/>
        <v>5.9</v>
      </c>
    </row>
    <row r="23" spans="1:39" ht="15" x14ac:dyDescent="0.2">
      <c r="A23" s="260">
        <v>13</v>
      </c>
      <c r="B23" s="419" t="s">
        <v>902</v>
      </c>
      <c r="C23" s="804">
        <v>37638</v>
      </c>
      <c r="D23" s="723">
        <v>45</v>
      </c>
      <c r="E23" s="548">
        <f t="shared" si="0"/>
        <v>254.06</v>
      </c>
      <c r="F23" s="548">
        <f t="shared" si="1"/>
        <v>254.06</v>
      </c>
      <c r="G23" s="545"/>
      <c r="H23" s="545"/>
      <c r="I23" s="545"/>
      <c r="J23" s="545"/>
      <c r="K23" s="545"/>
      <c r="L23" s="545"/>
      <c r="M23" s="545"/>
      <c r="N23" s="545"/>
      <c r="O23" s="547">
        <v>131.5</v>
      </c>
      <c r="P23" s="548">
        <f t="shared" si="2"/>
        <v>3.34</v>
      </c>
    </row>
    <row r="24" spans="1:39" ht="15" x14ac:dyDescent="0.2">
      <c r="A24" s="260">
        <v>14</v>
      </c>
      <c r="B24" s="419" t="s">
        <v>903</v>
      </c>
      <c r="C24" s="804">
        <v>32951</v>
      </c>
      <c r="D24" s="723">
        <v>45</v>
      </c>
      <c r="E24" s="548">
        <f t="shared" si="0"/>
        <v>222.42</v>
      </c>
      <c r="F24" s="548">
        <f t="shared" si="1"/>
        <v>222.42</v>
      </c>
      <c r="G24" s="545"/>
      <c r="H24" s="545"/>
      <c r="I24" s="545"/>
      <c r="J24" s="545"/>
      <c r="K24" s="545"/>
      <c r="L24" s="545"/>
      <c r="M24" s="545"/>
      <c r="N24" s="545"/>
      <c r="O24" s="547">
        <v>131.5</v>
      </c>
      <c r="P24" s="548">
        <f t="shared" si="2"/>
        <v>2.92</v>
      </c>
    </row>
    <row r="25" spans="1:39" ht="15" x14ac:dyDescent="0.2">
      <c r="A25" s="260">
        <v>15</v>
      </c>
      <c r="B25" s="419" t="s">
        <v>904</v>
      </c>
      <c r="C25" s="804">
        <v>45010</v>
      </c>
      <c r="D25" s="723">
        <v>45</v>
      </c>
      <c r="E25" s="548">
        <f t="shared" si="0"/>
        <v>303.82</v>
      </c>
      <c r="F25" s="548">
        <f t="shared" si="1"/>
        <v>303.82</v>
      </c>
      <c r="G25" s="545"/>
      <c r="H25" s="545"/>
      <c r="I25" s="545"/>
      <c r="J25" s="545"/>
      <c r="K25" s="545"/>
      <c r="L25" s="545"/>
      <c r="M25" s="545"/>
      <c r="N25" s="545"/>
      <c r="O25" s="547">
        <v>131.5</v>
      </c>
      <c r="P25" s="548">
        <f t="shared" si="2"/>
        <v>4</v>
      </c>
    </row>
    <row r="26" spans="1:39" ht="15" x14ac:dyDescent="0.2">
      <c r="A26" s="260">
        <v>16</v>
      </c>
      <c r="B26" s="419" t="s">
        <v>905</v>
      </c>
      <c r="C26" s="804">
        <v>30598</v>
      </c>
      <c r="D26" s="723">
        <v>45</v>
      </c>
      <c r="E26" s="548">
        <f t="shared" si="0"/>
        <v>206.54</v>
      </c>
      <c r="F26" s="548">
        <f t="shared" si="1"/>
        <v>206.54</v>
      </c>
      <c r="G26" s="545"/>
      <c r="H26" s="545"/>
      <c r="I26" s="545"/>
      <c r="J26" s="545"/>
      <c r="K26" s="545"/>
      <c r="L26" s="545"/>
      <c r="M26" s="545"/>
      <c r="N26" s="545"/>
      <c r="O26" s="547">
        <v>131.5</v>
      </c>
      <c r="P26" s="548">
        <f t="shared" si="2"/>
        <v>2.72</v>
      </c>
    </row>
    <row r="27" spans="1:39" ht="15" x14ac:dyDescent="0.2">
      <c r="A27" s="260">
        <v>17</v>
      </c>
      <c r="B27" s="419" t="s">
        <v>906</v>
      </c>
      <c r="C27" s="804">
        <v>46059</v>
      </c>
      <c r="D27" s="723">
        <v>45</v>
      </c>
      <c r="E27" s="548">
        <f t="shared" si="0"/>
        <v>310.89999999999998</v>
      </c>
      <c r="F27" s="548">
        <f t="shared" si="1"/>
        <v>310.89999999999998</v>
      </c>
      <c r="G27" s="545"/>
      <c r="H27" s="545"/>
      <c r="I27" s="545"/>
      <c r="J27" s="545"/>
      <c r="K27" s="545"/>
      <c r="L27" s="545"/>
      <c r="M27" s="545"/>
      <c r="N27" s="545"/>
      <c r="O27" s="547">
        <v>131.5</v>
      </c>
      <c r="P27" s="548">
        <f t="shared" si="2"/>
        <v>4.09</v>
      </c>
    </row>
    <row r="28" spans="1:39" ht="15" x14ac:dyDescent="0.2">
      <c r="A28" s="260">
        <v>18</v>
      </c>
      <c r="B28" s="419" t="s">
        <v>907</v>
      </c>
      <c r="C28" s="804">
        <v>26219</v>
      </c>
      <c r="D28" s="723">
        <v>45</v>
      </c>
      <c r="E28" s="548">
        <f t="shared" si="0"/>
        <v>176.98</v>
      </c>
      <c r="F28" s="548">
        <f t="shared" si="1"/>
        <v>176.98</v>
      </c>
      <c r="G28" s="545"/>
      <c r="H28" s="545"/>
      <c r="I28" s="545"/>
      <c r="J28" s="545"/>
      <c r="K28" s="545"/>
      <c r="L28" s="545"/>
      <c r="M28" s="545"/>
      <c r="N28" s="545"/>
      <c r="O28" s="547">
        <v>131.5</v>
      </c>
      <c r="P28" s="548">
        <f t="shared" si="2"/>
        <v>2.33</v>
      </c>
    </row>
    <row r="29" spans="1:39" ht="15" x14ac:dyDescent="0.2">
      <c r="A29" s="260">
        <v>19</v>
      </c>
      <c r="B29" s="419" t="s">
        <v>908</v>
      </c>
      <c r="C29" s="804">
        <v>50841</v>
      </c>
      <c r="D29" s="723">
        <v>45</v>
      </c>
      <c r="E29" s="548">
        <f t="shared" si="0"/>
        <v>343.18</v>
      </c>
      <c r="F29" s="548">
        <f t="shared" si="1"/>
        <v>343.18</v>
      </c>
      <c r="G29" s="545"/>
      <c r="H29" s="545"/>
      <c r="I29" s="545"/>
      <c r="J29" s="545"/>
      <c r="K29" s="545"/>
      <c r="L29" s="545"/>
      <c r="M29" s="545"/>
      <c r="N29" s="545"/>
      <c r="O29" s="547">
        <v>131.5</v>
      </c>
      <c r="P29" s="548">
        <f t="shared" si="2"/>
        <v>4.51</v>
      </c>
    </row>
    <row r="30" spans="1:39" ht="15" x14ac:dyDescent="0.2">
      <c r="A30" s="260">
        <v>20</v>
      </c>
      <c r="B30" s="419" t="s">
        <v>909</v>
      </c>
      <c r="C30" s="804">
        <v>37185</v>
      </c>
      <c r="D30" s="723">
        <v>45</v>
      </c>
      <c r="E30" s="548">
        <f t="shared" si="0"/>
        <v>251</v>
      </c>
      <c r="F30" s="548">
        <f t="shared" si="1"/>
        <v>251</v>
      </c>
      <c r="G30" s="545"/>
      <c r="H30" s="545"/>
      <c r="I30" s="545"/>
      <c r="J30" s="545"/>
      <c r="K30" s="545"/>
      <c r="L30" s="545"/>
      <c r="M30" s="545"/>
      <c r="N30" s="545"/>
      <c r="O30" s="547">
        <v>131.5</v>
      </c>
      <c r="P30" s="548">
        <f t="shared" si="2"/>
        <v>3.3</v>
      </c>
    </row>
    <row r="31" spans="1:39" ht="15" x14ac:dyDescent="0.2">
      <c r="A31" s="260">
        <v>21</v>
      </c>
      <c r="B31" s="419" t="s">
        <v>910</v>
      </c>
      <c r="C31" s="804">
        <v>7120</v>
      </c>
      <c r="D31" s="723">
        <v>45</v>
      </c>
      <c r="E31" s="548">
        <f t="shared" si="0"/>
        <v>48.06</v>
      </c>
      <c r="F31" s="548">
        <f t="shared" si="1"/>
        <v>48.06</v>
      </c>
      <c r="G31" s="545"/>
      <c r="H31" s="545"/>
      <c r="I31" s="545"/>
      <c r="J31" s="545"/>
      <c r="K31" s="545"/>
      <c r="L31" s="545"/>
      <c r="M31" s="545"/>
      <c r="N31" s="545"/>
      <c r="O31" s="547">
        <v>131.5</v>
      </c>
      <c r="P31" s="548">
        <f t="shared" si="2"/>
        <v>0.63</v>
      </c>
    </row>
    <row r="32" spans="1:39" ht="15" x14ac:dyDescent="0.2">
      <c r="A32" s="260">
        <v>22</v>
      </c>
      <c r="B32" s="419" t="s">
        <v>911</v>
      </c>
      <c r="C32" s="804">
        <v>55882</v>
      </c>
      <c r="D32" s="723">
        <v>45</v>
      </c>
      <c r="E32" s="548">
        <f t="shared" si="0"/>
        <v>377.2</v>
      </c>
      <c r="F32" s="548">
        <f t="shared" si="1"/>
        <v>377.2</v>
      </c>
      <c r="G32" s="545"/>
      <c r="H32" s="545"/>
      <c r="I32" s="545"/>
      <c r="J32" s="545"/>
      <c r="K32" s="545"/>
      <c r="L32" s="545"/>
      <c r="M32" s="545"/>
      <c r="N32" s="545"/>
      <c r="O32" s="547">
        <v>131.5</v>
      </c>
      <c r="P32" s="548">
        <f t="shared" si="2"/>
        <v>4.96</v>
      </c>
    </row>
    <row r="33" spans="1:16" ht="15" x14ac:dyDescent="0.2">
      <c r="A33" s="260">
        <v>23</v>
      </c>
      <c r="B33" s="419" t="s">
        <v>912</v>
      </c>
      <c r="C33" s="804">
        <v>70393</v>
      </c>
      <c r="D33" s="723">
        <v>45</v>
      </c>
      <c r="E33" s="548">
        <f t="shared" si="0"/>
        <v>475.15</v>
      </c>
      <c r="F33" s="548">
        <f t="shared" si="1"/>
        <v>475.15</v>
      </c>
      <c r="G33" s="545"/>
      <c r="H33" s="545"/>
      <c r="I33" s="545"/>
      <c r="J33" s="545"/>
      <c r="K33" s="545"/>
      <c r="L33" s="545"/>
      <c r="M33" s="545"/>
      <c r="N33" s="545"/>
      <c r="O33" s="547">
        <v>131.5</v>
      </c>
      <c r="P33" s="548">
        <f t="shared" si="2"/>
        <v>6.25</v>
      </c>
    </row>
    <row r="34" spans="1:16" ht="15" x14ac:dyDescent="0.2">
      <c r="A34" s="260">
        <v>24</v>
      </c>
      <c r="B34" s="419" t="s">
        <v>913</v>
      </c>
      <c r="C34" s="804">
        <v>70749</v>
      </c>
      <c r="D34" s="723">
        <v>45</v>
      </c>
      <c r="E34" s="548">
        <f t="shared" si="0"/>
        <v>477.56</v>
      </c>
      <c r="F34" s="548">
        <f t="shared" si="1"/>
        <v>477.56</v>
      </c>
      <c r="G34" s="545"/>
      <c r="H34" s="545"/>
      <c r="I34" s="545"/>
      <c r="J34" s="545"/>
      <c r="K34" s="545"/>
      <c r="L34" s="545"/>
      <c r="M34" s="545"/>
      <c r="N34" s="545"/>
      <c r="O34" s="547">
        <v>131.5</v>
      </c>
      <c r="P34" s="548">
        <f t="shared" si="2"/>
        <v>6.28</v>
      </c>
    </row>
    <row r="35" spans="1:16" ht="15" x14ac:dyDescent="0.2">
      <c r="A35" s="260">
        <v>25</v>
      </c>
      <c r="B35" s="419" t="s">
        <v>919</v>
      </c>
      <c r="C35" s="804">
        <v>33991</v>
      </c>
      <c r="D35" s="723">
        <v>45</v>
      </c>
      <c r="E35" s="548">
        <f t="shared" si="0"/>
        <v>229.44</v>
      </c>
      <c r="F35" s="548">
        <f t="shared" si="1"/>
        <v>229.44</v>
      </c>
      <c r="G35" s="545"/>
      <c r="H35" s="545"/>
      <c r="I35" s="545"/>
      <c r="J35" s="545"/>
      <c r="K35" s="545"/>
      <c r="L35" s="545"/>
      <c r="M35" s="545"/>
      <c r="N35" s="545"/>
      <c r="O35" s="547">
        <v>131.5</v>
      </c>
      <c r="P35" s="548">
        <f t="shared" si="2"/>
        <v>3.02</v>
      </c>
    </row>
    <row r="36" spans="1:16" ht="15" x14ac:dyDescent="0.2">
      <c r="A36" s="260">
        <v>26</v>
      </c>
      <c r="B36" s="419" t="s">
        <v>914</v>
      </c>
      <c r="C36" s="804">
        <v>8462</v>
      </c>
      <c r="D36" s="723">
        <v>45</v>
      </c>
      <c r="E36" s="548">
        <f t="shared" si="0"/>
        <v>57.12</v>
      </c>
      <c r="F36" s="548">
        <f t="shared" si="1"/>
        <v>57.12</v>
      </c>
      <c r="G36" s="545"/>
      <c r="H36" s="545"/>
      <c r="I36" s="545"/>
      <c r="J36" s="545"/>
      <c r="K36" s="545"/>
      <c r="L36" s="545"/>
      <c r="M36" s="545"/>
      <c r="N36" s="545"/>
      <c r="O36" s="547">
        <v>131.5</v>
      </c>
      <c r="P36" s="548">
        <f t="shared" si="2"/>
        <v>0.75</v>
      </c>
    </row>
    <row r="37" spans="1:16" ht="15" x14ac:dyDescent="0.2">
      <c r="A37" s="260">
        <v>27</v>
      </c>
      <c r="B37" s="419" t="s">
        <v>915</v>
      </c>
      <c r="C37" s="804">
        <v>35895</v>
      </c>
      <c r="D37" s="723">
        <v>45</v>
      </c>
      <c r="E37" s="548">
        <f t="shared" si="0"/>
        <v>242.29</v>
      </c>
      <c r="F37" s="548">
        <f t="shared" si="1"/>
        <v>242.29</v>
      </c>
      <c r="G37" s="545"/>
      <c r="H37" s="545"/>
      <c r="I37" s="545"/>
      <c r="J37" s="545"/>
      <c r="K37" s="545"/>
      <c r="L37" s="545"/>
      <c r="M37" s="545"/>
      <c r="N37" s="545"/>
      <c r="O37" s="547">
        <v>131.5</v>
      </c>
      <c r="P37" s="548">
        <f t="shared" si="2"/>
        <v>3.19</v>
      </c>
    </row>
    <row r="38" spans="1:16" ht="15" x14ac:dyDescent="0.2">
      <c r="A38" s="260" t="s">
        <v>18</v>
      </c>
      <c r="B38" s="261"/>
      <c r="C38" s="261">
        <f>SUM(C11:C37)</f>
        <v>1100000</v>
      </c>
      <c r="D38" s="723">
        <v>45</v>
      </c>
      <c r="E38" s="724">
        <f>SUM(E11:E37)</f>
        <v>7425.0199999999995</v>
      </c>
      <c r="F38" s="724">
        <f>SUM(F11:F37)</f>
        <v>7425.0199999999995</v>
      </c>
      <c r="G38" s="261"/>
      <c r="H38" s="261"/>
      <c r="I38" s="261"/>
      <c r="J38" s="261"/>
      <c r="K38" s="261"/>
      <c r="L38" s="261"/>
      <c r="M38" s="261"/>
      <c r="N38" s="261"/>
      <c r="O38" s="547">
        <v>131.5</v>
      </c>
      <c r="P38" s="548">
        <f t="shared" si="2"/>
        <v>97.64</v>
      </c>
    </row>
    <row r="39" spans="1:16" x14ac:dyDescent="0.2">
      <c r="A39" s="263"/>
      <c r="B39" s="263"/>
      <c r="C39" s="263"/>
      <c r="D39" s="263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6" x14ac:dyDescent="0.2">
      <c r="A40" s="264"/>
      <c r="B40" s="265"/>
      <c r="C40" s="265"/>
      <c r="D40" s="263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6" x14ac:dyDescent="0.2">
      <c r="A41" s="266"/>
      <c r="B41" s="266"/>
      <c r="C41" s="26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6" x14ac:dyDescent="0.2">
      <c r="A42" s="266"/>
      <c r="B42" s="266"/>
      <c r="C42" s="26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6" x14ac:dyDescent="0.2">
      <c r="A43" s="266"/>
      <c r="B43" s="266"/>
      <c r="C43" s="266"/>
      <c r="E43" s="256"/>
      <c r="F43" s="256"/>
      <c r="G43" s="256"/>
      <c r="H43" s="256"/>
      <c r="I43" s="256"/>
      <c r="J43" s="256"/>
      <c r="K43" s="256"/>
      <c r="L43" s="810" t="s">
        <v>13</v>
      </c>
      <c r="M43" s="810"/>
      <c r="N43" s="810"/>
      <c r="O43" s="810"/>
      <c r="P43" s="810"/>
    </row>
    <row r="44" spans="1:16" x14ac:dyDescent="0.2">
      <c r="A44" s="266"/>
      <c r="B44" s="266"/>
      <c r="C44" s="266"/>
      <c r="E44" s="256"/>
      <c r="F44" s="256"/>
      <c r="G44" s="256"/>
      <c r="H44" s="256"/>
      <c r="I44" s="256"/>
      <c r="J44" s="256"/>
      <c r="K44" s="256"/>
      <c r="L44" s="810" t="s">
        <v>14</v>
      </c>
      <c r="M44" s="810"/>
      <c r="N44" s="810"/>
      <c r="O44" s="810"/>
      <c r="P44" s="810"/>
    </row>
    <row r="45" spans="1:16" x14ac:dyDescent="0.2">
      <c r="A45" s="266"/>
      <c r="D45" s="266"/>
      <c r="E45" s="256"/>
      <c r="F45" s="266"/>
      <c r="G45" s="266"/>
      <c r="H45" s="266"/>
      <c r="I45" s="266"/>
      <c r="J45" s="266"/>
      <c r="K45" s="266"/>
      <c r="L45" s="810" t="s">
        <v>918</v>
      </c>
      <c r="M45" s="810"/>
      <c r="N45" s="810"/>
      <c r="O45" s="810"/>
      <c r="P45" s="810"/>
    </row>
    <row r="46" spans="1:16" ht="12.75" customHeight="1" x14ac:dyDescent="0.25">
      <c r="A46" s="492" t="s">
        <v>12</v>
      </c>
      <c r="E46" s="266"/>
      <c r="F46" s="641"/>
      <c r="G46" s="641"/>
      <c r="H46" s="641"/>
      <c r="I46" s="641"/>
      <c r="J46" s="641"/>
      <c r="K46" s="641"/>
      <c r="L46" s="805"/>
      <c r="M46" s="207" t="s">
        <v>82</v>
      </c>
      <c r="N46" s="207"/>
      <c r="O46" s="207"/>
      <c r="P46" s="207"/>
    </row>
    <row r="47" spans="1:16" ht="12.75" customHeight="1" x14ac:dyDescent="0.2">
      <c r="E47" s="641"/>
      <c r="F47" s="641"/>
      <c r="G47" s="641"/>
      <c r="H47" s="641"/>
      <c r="I47" s="641"/>
      <c r="J47" s="641"/>
      <c r="K47" s="641"/>
      <c r="L47" s="641"/>
      <c r="M47" s="641"/>
      <c r="N47" s="641"/>
    </row>
    <row r="48" spans="1:16" x14ac:dyDescent="0.2">
      <c r="A48" s="266"/>
      <c r="B48" s="266"/>
      <c r="E48" s="256"/>
      <c r="F48" s="266"/>
      <c r="G48" s="266"/>
      <c r="H48" s="266"/>
      <c r="I48" s="266"/>
      <c r="J48" s="266"/>
      <c r="K48" s="266"/>
      <c r="L48" s="266"/>
      <c r="M48" s="266"/>
      <c r="N48" s="266"/>
    </row>
    <row r="49" spans="1:14" s="642" customFormat="1" x14ac:dyDescent="0.2"/>
    <row r="50" spans="1:14" s="642" customFormat="1" x14ac:dyDescent="0.2">
      <c r="A50" s="1105"/>
      <c r="B50" s="1105"/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  <c r="N50" s="1105"/>
    </row>
    <row r="51" spans="1:14" s="642" customFormat="1" x14ac:dyDescent="0.2"/>
    <row r="52" spans="1:14" s="642" customFormat="1" x14ac:dyDescent="0.2"/>
    <row r="53" spans="1:14" s="642" customFormat="1" x14ac:dyDescent="0.2"/>
    <row r="54" spans="1:14" s="642" customFormat="1" x14ac:dyDescent="0.2"/>
    <row r="55" spans="1:14" s="642" customFormat="1" x14ac:dyDescent="0.2"/>
    <row r="56" spans="1:14" s="642" customFormat="1" x14ac:dyDescent="0.2"/>
    <row r="57" spans="1:14" s="642" customFormat="1" x14ac:dyDescent="0.2"/>
    <row r="58" spans="1:14" s="642" customFormat="1" x14ac:dyDescent="0.2"/>
    <row r="59" spans="1:14" s="642" customFormat="1" x14ac:dyDescent="0.2"/>
    <row r="60" spans="1:14" s="642" customFormat="1" x14ac:dyDescent="0.2"/>
    <row r="61" spans="1:14" s="642" customFormat="1" x14ac:dyDescent="0.2"/>
    <row r="62" spans="1:14" s="642" customFormat="1" x14ac:dyDescent="0.2"/>
    <row r="63" spans="1:14" s="642" customFormat="1" x14ac:dyDescent="0.2"/>
    <row r="64" spans="1:14" s="642" customFormat="1" x14ac:dyDescent="0.2"/>
    <row r="65" s="642" customFormat="1" x14ac:dyDescent="0.2"/>
    <row r="66" s="642" customFormat="1" x14ac:dyDescent="0.2"/>
    <row r="67" s="642" customFormat="1" x14ac:dyDescent="0.2"/>
    <row r="68" s="642" customFormat="1" x14ac:dyDescent="0.2"/>
    <row r="69" s="642" customFormat="1" x14ac:dyDescent="0.2"/>
    <row r="70" s="642" customFormat="1" x14ac:dyDescent="0.2"/>
    <row r="71" s="642" customFormat="1" x14ac:dyDescent="0.2"/>
    <row r="72" s="642" customFormat="1" x14ac:dyDescent="0.2"/>
    <row r="73" s="642" customFormat="1" x14ac:dyDescent="0.2"/>
    <row r="74" s="642" customFormat="1" x14ac:dyDescent="0.2"/>
    <row r="75" s="642" customFormat="1" x14ac:dyDescent="0.2"/>
    <row r="76" s="642" customFormat="1" x14ac:dyDescent="0.2"/>
    <row r="77" s="642" customFormat="1" x14ac:dyDescent="0.2"/>
    <row r="78" s="642" customFormat="1" x14ac:dyDescent="0.2"/>
    <row r="79" s="642" customFormat="1" x14ac:dyDescent="0.2"/>
    <row r="80" s="642" customFormat="1" x14ac:dyDescent="0.2"/>
    <row r="81" s="642" customFormat="1" x14ac:dyDescent="0.2"/>
    <row r="82" s="642" customFormat="1" x14ac:dyDescent="0.2"/>
    <row r="83" s="642" customFormat="1" x14ac:dyDescent="0.2"/>
    <row r="84" s="642" customFormat="1" x14ac:dyDescent="0.2"/>
    <row r="85" s="642" customFormat="1" x14ac:dyDescent="0.2"/>
    <row r="86" s="642" customFormat="1" x14ac:dyDescent="0.2"/>
    <row r="87" s="642" customFormat="1" x14ac:dyDescent="0.2"/>
    <row r="88" s="642" customFormat="1" x14ac:dyDescent="0.2"/>
    <row r="89" s="642" customFormat="1" x14ac:dyDescent="0.2"/>
    <row r="90" s="642" customFormat="1" x14ac:dyDescent="0.2"/>
    <row r="91" s="642" customFormat="1" x14ac:dyDescent="0.2"/>
    <row r="92" s="642" customFormat="1" x14ac:dyDescent="0.2"/>
    <row r="93" s="642" customFormat="1" x14ac:dyDescent="0.2"/>
    <row r="94" s="642" customFormat="1" x14ac:dyDescent="0.2"/>
    <row r="95" s="642" customFormat="1" x14ac:dyDescent="0.2"/>
    <row r="96" s="642" customFormat="1" x14ac:dyDescent="0.2"/>
    <row r="97" s="642" customFormat="1" x14ac:dyDescent="0.2"/>
    <row r="98" s="642" customFormat="1" x14ac:dyDescent="0.2"/>
    <row r="99" s="642" customFormat="1" x14ac:dyDescent="0.2"/>
    <row r="100" s="642" customFormat="1" x14ac:dyDescent="0.2"/>
    <row r="101" s="642" customFormat="1" x14ac:dyDescent="0.2"/>
    <row r="102" s="642" customFormat="1" x14ac:dyDescent="0.2"/>
    <row r="103" s="642" customFormat="1" x14ac:dyDescent="0.2"/>
    <row r="104" s="642" customFormat="1" x14ac:dyDescent="0.2"/>
    <row r="105" s="642" customFormat="1" x14ac:dyDescent="0.2"/>
    <row r="106" s="642" customFormat="1" x14ac:dyDescent="0.2"/>
    <row r="107" s="642" customFormat="1" x14ac:dyDescent="0.2"/>
    <row r="108" s="642" customFormat="1" x14ac:dyDescent="0.2"/>
    <row r="109" s="642" customFormat="1" x14ac:dyDescent="0.2"/>
    <row r="110" s="642" customFormat="1" x14ac:dyDescent="0.2"/>
    <row r="111" s="642" customFormat="1" x14ac:dyDescent="0.2"/>
    <row r="112" s="642" customFormat="1" x14ac:dyDescent="0.2"/>
    <row r="113" s="642" customFormat="1" x14ac:dyDescent="0.2"/>
    <row r="114" s="642" customFormat="1" x14ac:dyDescent="0.2"/>
    <row r="115" s="642" customFormat="1" x14ac:dyDescent="0.2"/>
    <row r="116" s="642" customFormat="1" x14ac:dyDescent="0.2"/>
    <row r="117" s="642" customFormat="1" x14ac:dyDescent="0.2"/>
    <row r="118" s="642" customFormat="1" x14ac:dyDescent="0.2"/>
    <row r="119" s="642" customFormat="1" x14ac:dyDescent="0.2"/>
    <row r="120" s="642" customFormat="1" x14ac:dyDescent="0.2"/>
    <row r="121" s="642" customFormat="1" x14ac:dyDescent="0.2"/>
    <row r="122" s="642" customFormat="1" x14ac:dyDescent="0.2"/>
    <row r="123" s="642" customFormat="1" x14ac:dyDescent="0.2"/>
    <row r="124" s="642" customFormat="1" x14ac:dyDescent="0.2"/>
  </sheetData>
  <mergeCells count="18">
    <mergeCell ref="O8:P8"/>
    <mergeCell ref="L43:P43"/>
    <mergeCell ref="L44:P44"/>
    <mergeCell ref="L45:P45"/>
    <mergeCell ref="A50:N50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P4"/>
    <mergeCell ref="A6:N6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  <pageSetUpPr fitToPage="1"/>
  </sheetPr>
  <dimension ref="A1:AS46"/>
  <sheetViews>
    <sheetView topLeftCell="C1" zoomScale="90" zoomScaleNormal="90" zoomScaleSheetLayoutView="100" workbookViewId="0">
      <selection activeCell="U49" sqref="U49"/>
    </sheetView>
  </sheetViews>
  <sheetFormatPr defaultRowHeight="15" x14ac:dyDescent="0.25"/>
  <cols>
    <col min="1" max="1" width="7.140625" style="77" customWidth="1"/>
    <col min="2" max="2" width="17" style="77" customWidth="1"/>
    <col min="3" max="4" width="8.5703125" style="77" customWidth="1"/>
    <col min="5" max="5" width="8.7109375" style="77" customWidth="1"/>
    <col min="6" max="6" width="8.5703125" style="77" customWidth="1"/>
    <col min="7" max="7" width="9.7109375" style="77" customWidth="1"/>
    <col min="8" max="8" width="10.28515625" style="77" customWidth="1"/>
    <col min="9" max="9" width="9.7109375" style="77" customWidth="1"/>
    <col min="10" max="10" width="9.28515625" style="77" customWidth="1"/>
    <col min="11" max="11" width="7" style="77" customWidth="1"/>
    <col min="12" max="12" width="7.28515625" style="77" customWidth="1"/>
    <col min="13" max="13" width="7.42578125" style="77" customWidth="1"/>
    <col min="14" max="14" width="7.85546875" style="77" customWidth="1"/>
    <col min="15" max="15" width="11.42578125" style="77" customWidth="1"/>
    <col min="16" max="16" width="12.28515625" style="77" customWidth="1"/>
    <col min="17" max="17" width="11.5703125" style="77" customWidth="1"/>
    <col min="18" max="18" width="16" style="77" customWidth="1"/>
    <col min="19" max="19" width="9" style="77" customWidth="1"/>
    <col min="20" max="20" width="9.140625" style="77" hidden="1" customWidth="1"/>
    <col min="21" max="16384" width="9.140625" style="77"/>
  </cols>
  <sheetData>
    <row r="1" spans="1:20" s="15" customFormat="1" ht="15.75" x14ac:dyDescent="0.25">
      <c r="G1" s="865" t="s">
        <v>0</v>
      </c>
      <c r="H1" s="865"/>
      <c r="I1" s="865"/>
      <c r="J1" s="865"/>
      <c r="K1" s="865"/>
      <c r="L1" s="865"/>
      <c r="M1" s="865"/>
      <c r="N1" s="40"/>
      <c r="O1" s="40"/>
      <c r="R1" s="43" t="s">
        <v>532</v>
      </c>
      <c r="S1" s="43"/>
    </row>
    <row r="2" spans="1:20" s="15" customFormat="1" ht="20.25" x14ac:dyDescent="0.3">
      <c r="B2" s="123"/>
      <c r="E2" s="863" t="s">
        <v>738</v>
      </c>
      <c r="F2" s="863"/>
      <c r="G2" s="863"/>
      <c r="H2" s="863"/>
      <c r="I2" s="863"/>
      <c r="J2" s="863"/>
      <c r="K2" s="863"/>
      <c r="L2" s="863"/>
      <c r="M2" s="863"/>
      <c r="N2" s="863"/>
      <c r="O2" s="863"/>
    </row>
    <row r="3" spans="1:20" s="15" customFormat="1" ht="20.25" x14ac:dyDescent="0.3">
      <c r="B3" s="122"/>
      <c r="C3" s="122"/>
      <c r="D3" s="122"/>
      <c r="E3" s="122"/>
      <c r="F3" s="122"/>
      <c r="G3" s="122"/>
      <c r="H3" s="122"/>
      <c r="I3" s="122"/>
      <c r="J3" s="122"/>
    </row>
    <row r="4" spans="1:20" ht="18" x14ac:dyDescent="0.25">
      <c r="B4" s="1117" t="s">
        <v>751</v>
      </c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</row>
    <row r="5" spans="1:20" x14ac:dyDescent="0.2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</row>
    <row r="6" spans="1:20" ht="15.75" x14ac:dyDescent="0.3">
      <c r="A6" s="197" t="s">
        <v>917</v>
      </c>
      <c r="B6" s="197" t="s">
        <v>916</v>
      </c>
    </row>
    <row r="7" spans="1:20" x14ac:dyDescent="0.25">
      <c r="B7" s="80"/>
    </row>
    <row r="8" spans="1:20" s="81" customFormat="1" ht="42" customHeight="1" x14ac:dyDescent="0.25">
      <c r="A8" s="824" t="s">
        <v>2</v>
      </c>
      <c r="B8" s="1118" t="s">
        <v>3</v>
      </c>
      <c r="C8" s="1115" t="s">
        <v>235</v>
      </c>
      <c r="D8" s="1115"/>
      <c r="E8" s="1115"/>
      <c r="F8" s="1115"/>
      <c r="G8" s="1112" t="s">
        <v>880</v>
      </c>
      <c r="H8" s="1113"/>
      <c r="I8" s="1113"/>
      <c r="J8" s="1116"/>
      <c r="K8" s="1112" t="s">
        <v>205</v>
      </c>
      <c r="L8" s="1113"/>
      <c r="M8" s="1113"/>
      <c r="N8" s="1116"/>
      <c r="O8" s="1112" t="s">
        <v>105</v>
      </c>
      <c r="P8" s="1113"/>
      <c r="Q8" s="1113"/>
      <c r="R8" s="1114"/>
    </row>
    <row r="9" spans="1:20" s="82" customFormat="1" ht="37.5" customHeight="1" x14ac:dyDescent="0.25">
      <c r="A9" s="824"/>
      <c r="B9" s="1119"/>
      <c r="C9" s="86" t="s">
        <v>91</v>
      </c>
      <c r="D9" s="86" t="s">
        <v>95</v>
      </c>
      <c r="E9" s="86" t="s">
        <v>96</v>
      </c>
      <c r="F9" s="86" t="s">
        <v>18</v>
      </c>
      <c r="G9" s="86" t="s">
        <v>91</v>
      </c>
      <c r="H9" s="86" t="s">
        <v>95</v>
      </c>
      <c r="I9" s="86" t="s">
        <v>96</v>
      </c>
      <c r="J9" s="86" t="s">
        <v>18</v>
      </c>
      <c r="K9" s="86" t="s">
        <v>91</v>
      </c>
      <c r="L9" s="86" t="s">
        <v>95</v>
      </c>
      <c r="M9" s="86" t="s">
        <v>96</v>
      </c>
      <c r="N9" s="86" t="s">
        <v>18</v>
      </c>
      <c r="O9" s="86" t="s">
        <v>138</v>
      </c>
      <c r="P9" s="86" t="s">
        <v>139</v>
      </c>
      <c r="Q9" s="153" t="s">
        <v>140</v>
      </c>
      <c r="R9" s="86" t="s">
        <v>141</v>
      </c>
      <c r="S9" s="116"/>
    </row>
    <row r="10" spans="1:20" s="309" customFormat="1" ht="16.149999999999999" customHeight="1" x14ac:dyDescent="0.2">
      <c r="A10" s="67">
        <v>1</v>
      </c>
      <c r="B10" s="145">
        <v>2</v>
      </c>
      <c r="C10" s="308">
        <v>3</v>
      </c>
      <c r="D10" s="308">
        <v>4</v>
      </c>
      <c r="E10" s="308">
        <v>5</v>
      </c>
      <c r="F10" s="308">
        <v>6</v>
      </c>
      <c r="G10" s="308">
        <v>7</v>
      </c>
      <c r="H10" s="308">
        <v>8</v>
      </c>
      <c r="I10" s="308">
        <v>9</v>
      </c>
      <c r="J10" s="308">
        <v>10</v>
      </c>
      <c r="K10" s="308">
        <v>11</v>
      </c>
      <c r="L10" s="308">
        <v>12</v>
      </c>
      <c r="M10" s="308">
        <v>13</v>
      </c>
      <c r="N10" s="308">
        <v>14</v>
      </c>
      <c r="O10" s="308">
        <v>15</v>
      </c>
      <c r="P10" s="308">
        <v>16</v>
      </c>
      <c r="Q10" s="308">
        <v>17</v>
      </c>
      <c r="R10" s="145">
        <v>18</v>
      </c>
    </row>
    <row r="11" spans="1:20" s="309" customFormat="1" ht="16.149999999999999" customHeight="1" x14ac:dyDescent="0.2">
      <c r="A11" s="260">
        <v>1</v>
      </c>
      <c r="B11" s="419" t="s">
        <v>890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145"/>
    </row>
    <row r="12" spans="1:20" s="309" customFormat="1" ht="16.149999999999999" customHeight="1" x14ac:dyDescent="0.2">
      <c r="A12" s="260">
        <v>2</v>
      </c>
      <c r="B12" s="419" t="s">
        <v>891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145"/>
    </row>
    <row r="13" spans="1:20" s="309" customFormat="1" ht="16.149999999999999" customHeight="1" x14ac:dyDescent="0.2">
      <c r="A13" s="260">
        <v>3</v>
      </c>
      <c r="B13" s="419" t="s">
        <v>892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145"/>
    </row>
    <row r="14" spans="1:20" s="309" customFormat="1" ht="16.149999999999999" customHeight="1" x14ac:dyDescent="0.2">
      <c r="A14" s="260">
        <v>4</v>
      </c>
      <c r="B14" s="419" t="s">
        <v>893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145"/>
    </row>
    <row r="15" spans="1:20" s="309" customFormat="1" ht="16.149999999999999" customHeight="1" x14ac:dyDescent="0.2">
      <c r="A15" s="260">
        <v>5</v>
      </c>
      <c r="B15" s="419" t="s">
        <v>894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145"/>
    </row>
    <row r="16" spans="1:20" s="309" customFormat="1" ht="16.149999999999999" customHeight="1" x14ac:dyDescent="0.2">
      <c r="A16" s="260">
        <v>6</v>
      </c>
      <c r="B16" s="419" t="s">
        <v>895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145"/>
    </row>
    <row r="17" spans="1:18" s="309" customFormat="1" ht="16.149999999999999" customHeight="1" x14ac:dyDescent="0.2">
      <c r="A17" s="260">
        <v>7</v>
      </c>
      <c r="B17" s="419" t="s">
        <v>896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145"/>
    </row>
    <row r="18" spans="1:18" s="309" customFormat="1" ht="16.149999999999999" customHeight="1" x14ac:dyDescent="0.2">
      <c r="A18" s="260">
        <v>8</v>
      </c>
      <c r="B18" s="419" t="s">
        <v>897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145"/>
    </row>
    <row r="19" spans="1:18" s="309" customFormat="1" ht="16.149999999999999" customHeight="1" x14ac:dyDescent="0.2">
      <c r="A19" s="260">
        <v>9</v>
      </c>
      <c r="B19" s="419" t="s">
        <v>898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145"/>
    </row>
    <row r="20" spans="1:18" s="309" customFormat="1" ht="16.149999999999999" customHeight="1" x14ac:dyDescent="0.2">
      <c r="A20" s="260">
        <v>10</v>
      </c>
      <c r="B20" s="419" t="s">
        <v>899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145"/>
    </row>
    <row r="21" spans="1:18" s="309" customFormat="1" ht="16.149999999999999" customHeight="1" x14ac:dyDescent="0.2">
      <c r="A21" s="260">
        <v>11</v>
      </c>
      <c r="B21" s="419" t="s">
        <v>900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145"/>
    </row>
    <row r="22" spans="1:18" s="155" customFormat="1" ht="16.149999999999999" customHeight="1" x14ac:dyDescent="0.2">
      <c r="A22" s="260">
        <v>12</v>
      </c>
      <c r="B22" s="419" t="s">
        <v>941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5"/>
    </row>
    <row r="23" spans="1:18" s="155" customFormat="1" ht="16.149999999999999" customHeight="1" x14ac:dyDescent="0.2">
      <c r="A23" s="260">
        <v>13</v>
      </c>
      <c r="B23" s="419" t="s">
        <v>902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5"/>
    </row>
    <row r="24" spans="1:18" s="155" customFormat="1" ht="16.149999999999999" customHeight="1" x14ac:dyDescent="0.2">
      <c r="A24" s="260">
        <v>14</v>
      </c>
      <c r="B24" s="419" t="s">
        <v>903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5"/>
    </row>
    <row r="25" spans="1:18" s="155" customFormat="1" ht="16.149999999999999" customHeight="1" x14ac:dyDescent="0.2">
      <c r="A25" s="260">
        <v>15</v>
      </c>
      <c r="B25" s="419" t="s">
        <v>904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5"/>
    </row>
    <row r="26" spans="1:18" s="155" customFormat="1" ht="16.149999999999999" customHeight="1" x14ac:dyDescent="0.2">
      <c r="A26" s="260">
        <v>16</v>
      </c>
      <c r="B26" s="419" t="s">
        <v>905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5"/>
    </row>
    <row r="27" spans="1:18" s="155" customFormat="1" ht="16.149999999999999" customHeight="1" x14ac:dyDescent="0.2">
      <c r="A27" s="260">
        <v>17</v>
      </c>
      <c r="B27" s="419" t="s">
        <v>906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5"/>
    </row>
    <row r="28" spans="1:18" s="155" customFormat="1" ht="16.149999999999999" customHeight="1" x14ac:dyDescent="0.2">
      <c r="A28" s="260">
        <v>18</v>
      </c>
      <c r="B28" s="419" t="s">
        <v>907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5"/>
    </row>
    <row r="29" spans="1:18" s="155" customFormat="1" ht="16.149999999999999" customHeight="1" x14ac:dyDescent="0.2">
      <c r="A29" s="260">
        <v>19</v>
      </c>
      <c r="B29" s="419" t="s">
        <v>908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5"/>
    </row>
    <row r="30" spans="1:18" s="155" customFormat="1" ht="16.149999999999999" customHeight="1" x14ac:dyDescent="0.2">
      <c r="A30" s="260">
        <v>20</v>
      </c>
      <c r="B30" s="419" t="s">
        <v>909</v>
      </c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70"/>
    </row>
    <row r="31" spans="1:18" s="155" customFormat="1" ht="16.149999999999999" customHeight="1" x14ac:dyDescent="0.2">
      <c r="A31" s="260">
        <v>21</v>
      </c>
      <c r="B31" s="419" t="s">
        <v>910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5"/>
    </row>
    <row r="32" spans="1:18" s="155" customFormat="1" ht="16.149999999999999" customHeight="1" x14ac:dyDescent="0.2">
      <c r="A32" s="260">
        <v>22</v>
      </c>
      <c r="B32" s="419" t="s">
        <v>911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5"/>
    </row>
    <row r="33" spans="1:45" s="155" customFormat="1" ht="16.149999999999999" customHeight="1" x14ac:dyDescent="0.2">
      <c r="A33" s="260">
        <v>23</v>
      </c>
      <c r="B33" s="419" t="s">
        <v>912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5"/>
    </row>
    <row r="34" spans="1:45" ht="15.75" x14ac:dyDescent="0.25">
      <c r="A34" s="260">
        <v>24</v>
      </c>
      <c r="B34" s="419" t="s">
        <v>913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45" ht="15.75" x14ac:dyDescent="0.25">
      <c r="A35" s="260">
        <v>25</v>
      </c>
      <c r="B35" s="419" t="s">
        <v>919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45" ht="15.75" x14ac:dyDescent="0.25">
      <c r="A36" s="260">
        <v>26</v>
      </c>
      <c r="B36" s="419" t="s">
        <v>914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45" ht="15.75" x14ac:dyDescent="0.25">
      <c r="A37" s="260">
        <v>27</v>
      </c>
      <c r="B37" s="419" t="s">
        <v>915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45" s="83" customFormat="1" x14ac:dyDescent="0.25">
      <c r="A38" s="306" t="s">
        <v>18</v>
      </c>
      <c r="B38" s="261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.75" x14ac:dyDescent="0.25">
      <c r="A39" s="270" t="s">
        <v>18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2" spans="1:45" s="15" customFormat="1" ht="12.75" x14ac:dyDescent="0.2">
      <c r="A42" s="14"/>
      <c r="B42" s="569"/>
      <c r="C42" s="569"/>
      <c r="D42" s="569"/>
      <c r="E42" s="569"/>
      <c r="F42" s="569"/>
      <c r="G42" s="14"/>
      <c r="H42" s="14"/>
      <c r="I42" s="569"/>
      <c r="J42" s="569"/>
      <c r="K42" s="14"/>
      <c r="L42" s="14"/>
      <c r="M42" s="14"/>
      <c r="N42" s="14"/>
      <c r="O42" s="14"/>
      <c r="P42" s="563"/>
      <c r="Q42" s="563"/>
      <c r="R42" s="563"/>
      <c r="S42" s="563"/>
    </row>
    <row r="43" spans="1:45" s="15" customFormat="1" ht="12.75" customHeight="1" x14ac:dyDescent="0.2">
      <c r="A43" s="569"/>
      <c r="B43" s="569"/>
      <c r="C43" s="569"/>
      <c r="D43" s="569"/>
      <c r="E43" s="569"/>
      <c r="F43" s="569"/>
      <c r="G43" s="569"/>
      <c r="H43" s="569"/>
      <c r="I43" s="569"/>
      <c r="J43" s="14"/>
      <c r="K43" s="36"/>
      <c r="L43" s="36"/>
      <c r="M43" s="36"/>
      <c r="N43" s="810" t="s">
        <v>13</v>
      </c>
      <c r="O43" s="810"/>
      <c r="P43" s="810"/>
      <c r="Q43" s="810"/>
      <c r="R43" s="810"/>
      <c r="S43" s="36"/>
    </row>
    <row r="44" spans="1:45" s="15" customFormat="1" ht="12.75" customHeight="1" x14ac:dyDescent="0.2">
      <c r="A44" s="569"/>
      <c r="B44" s="569"/>
      <c r="C44" s="569"/>
      <c r="D44" s="569"/>
      <c r="E44" s="569"/>
      <c r="F44" s="569"/>
      <c r="G44" s="569"/>
      <c r="H44" s="569"/>
      <c r="I44" s="569"/>
      <c r="J44" s="36"/>
      <c r="K44" s="36"/>
      <c r="L44" s="36"/>
      <c r="M44" s="36"/>
      <c r="N44" s="810" t="s">
        <v>14</v>
      </c>
      <c r="O44" s="810"/>
      <c r="P44" s="810"/>
      <c r="Q44" s="810"/>
      <c r="R44" s="810"/>
      <c r="S44" s="36"/>
    </row>
    <row r="45" spans="1:45" s="15" customFormat="1" ht="12.75" x14ac:dyDescent="0.2">
      <c r="A45" s="14"/>
      <c r="B45" s="14"/>
      <c r="C45" s="569"/>
      <c r="D45" s="569"/>
      <c r="E45" s="569"/>
      <c r="F45" s="569"/>
      <c r="G45" s="569"/>
      <c r="H45" s="569"/>
      <c r="I45" s="569"/>
      <c r="J45" s="569"/>
      <c r="K45" s="14"/>
      <c r="L45" s="14"/>
      <c r="M45" s="14"/>
      <c r="N45" s="810" t="s">
        <v>918</v>
      </c>
      <c r="O45" s="810"/>
      <c r="P45" s="810"/>
      <c r="Q45" s="810"/>
      <c r="R45" s="810"/>
      <c r="S45" s="36"/>
    </row>
    <row r="46" spans="1:45" x14ac:dyDescent="0.25">
      <c r="A46" s="492" t="s">
        <v>12</v>
      </c>
      <c r="N46" s="657"/>
      <c r="O46" s="207" t="s">
        <v>82</v>
      </c>
      <c r="P46" s="207"/>
      <c r="Q46" s="207"/>
      <c r="R46" s="207"/>
    </row>
  </sheetData>
  <mergeCells count="12">
    <mergeCell ref="N43:R43"/>
    <mergeCell ref="N44:R44"/>
    <mergeCell ref="N45:R45"/>
    <mergeCell ref="A8:A9"/>
    <mergeCell ref="B8:B9"/>
    <mergeCell ref="G1:M1"/>
    <mergeCell ref="E2:O2"/>
    <mergeCell ref="O8:R8"/>
    <mergeCell ref="C8:F8"/>
    <mergeCell ref="K8:N8"/>
    <mergeCell ref="G8:J8"/>
    <mergeCell ref="B4:T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  <pageSetUpPr fitToPage="1"/>
  </sheetPr>
  <dimension ref="A1:AS46"/>
  <sheetViews>
    <sheetView zoomScale="70" zoomScaleNormal="70" zoomScaleSheetLayoutView="90" workbookViewId="0">
      <selection activeCell="A46" sqref="A46"/>
    </sheetView>
  </sheetViews>
  <sheetFormatPr defaultRowHeight="15" x14ac:dyDescent="0.25"/>
  <cols>
    <col min="1" max="1" width="7.28515625" style="77" customWidth="1"/>
    <col min="2" max="2" width="17.42578125" style="77" customWidth="1"/>
    <col min="3" max="3" width="15.42578125" style="77" customWidth="1"/>
    <col min="4" max="4" width="14.85546875" style="77" customWidth="1"/>
    <col min="5" max="5" width="11.85546875" style="77" customWidth="1"/>
    <col min="6" max="6" width="9.85546875" style="77" customWidth="1"/>
    <col min="7" max="7" width="12.7109375" style="77" customWidth="1"/>
    <col min="8" max="9" width="11" style="77" customWidth="1"/>
    <col min="10" max="10" width="14.140625" style="77" customWidth="1"/>
    <col min="11" max="11" width="12.28515625" style="77" customWidth="1"/>
    <col min="12" max="12" width="13.140625" style="77" customWidth="1"/>
    <col min="13" max="13" width="9.7109375" style="77" customWidth="1"/>
    <col min="14" max="14" width="9.5703125" style="77" customWidth="1"/>
    <col min="15" max="15" width="12.7109375" style="77" customWidth="1"/>
    <col min="16" max="16" width="13.28515625" style="77" customWidth="1"/>
    <col min="17" max="17" width="11.28515625" style="77" customWidth="1"/>
    <col min="18" max="18" width="9.28515625" style="77" customWidth="1"/>
    <col min="19" max="19" width="9.140625" style="77"/>
    <col min="20" max="20" width="12.28515625" style="77" customWidth="1"/>
    <col min="21" max="16384" width="9.140625" style="77"/>
  </cols>
  <sheetData>
    <row r="1" spans="1:20" s="15" customFormat="1" ht="15.75" x14ac:dyDescent="0.25">
      <c r="C1" s="45"/>
      <c r="D1" s="45"/>
      <c r="E1" s="45"/>
      <c r="F1" s="45"/>
      <c r="G1" s="45"/>
      <c r="H1" s="45"/>
      <c r="I1" s="104" t="s">
        <v>0</v>
      </c>
      <c r="J1" s="45"/>
      <c r="Q1" s="965" t="s">
        <v>533</v>
      </c>
      <c r="R1" s="965"/>
    </row>
    <row r="2" spans="1:20" s="15" customFormat="1" ht="20.25" x14ac:dyDescent="0.3">
      <c r="G2" s="863" t="s">
        <v>738</v>
      </c>
      <c r="H2" s="863"/>
      <c r="I2" s="863"/>
      <c r="J2" s="863"/>
      <c r="K2" s="863"/>
      <c r="L2" s="863"/>
      <c r="M2" s="863"/>
      <c r="N2" s="44"/>
      <c r="O2" s="44"/>
      <c r="P2" s="44"/>
      <c r="Q2" s="44"/>
    </row>
    <row r="3" spans="1:20" s="15" customFormat="1" ht="20.25" x14ac:dyDescent="0.3">
      <c r="G3" s="122"/>
      <c r="H3" s="122"/>
      <c r="I3" s="122"/>
      <c r="J3" s="122"/>
      <c r="K3" s="122"/>
      <c r="L3" s="122"/>
      <c r="M3" s="122"/>
      <c r="N3" s="44"/>
      <c r="O3" s="44"/>
      <c r="P3" s="44"/>
      <c r="Q3" s="44"/>
    </row>
    <row r="4" spans="1:20" ht="18" x14ac:dyDescent="0.25">
      <c r="B4" s="1121" t="s">
        <v>752</v>
      </c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121"/>
      <c r="R4" s="1121"/>
      <c r="S4" s="1121"/>
      <c r="T4" s="1121"/>
    </row>
    <row r="5" spans="1:20" ht="15.75" x14ac:dyDescent="0.25"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5.75" x14ac:dyDescent="0.3">
      <c r="A6" s="197" t="s">
        <v>917</v>
      </c>
      <c r="B6" s="197" t="s">
        <v>916</v>
      </c>
    </row>
    <row r="7" spans="1:20" x14ac:dyDescent="0.25">
      <c r="B7" s="80"/>
      <c r="Q7" s="111" t="s">
        <v>135</v>
      </c>
    </row>
    <row r="8" spans="1:20" s="81" customFormat="1" ht="32.450000000000003" customHeight="1" x14ac:dyDescent="0.25">
      <c r="A8" s="824" t="s">
        <v>2</v>
      </c>
      <c r="B8" s="1118" t="s">
        <v>3</v>
      </c>
      <c r="C8" s="1115" t="s">
        <v>449</v>
      </c>
      <c r="D8" s="1115"/>
      <c r="E8" s="1115"/>
      <c r="F8" s="1115"/>
      <c r="G8" s="1115" t="s">
        <v>450</v>
      </c>
      <c r="H8" s="1115"/>
      <c r="I8" s="1115"/>
      <c r="J8" s="1115"/>
      <c r="K8" s="1115" t="s">
        <v>451</v>
      </c>
      <c r="L8" s="1115"/>
      <c r="M8" s="1115"/>
      <c r="N8" s="1115"/>
      <c r="O8" s="1115" t="s">
        <v>452</v>
      </c>
      <c r="P8" s="1115"/>
      <c r="Q8" s="1115"/>
      <c r="R8" s="1118"/>
      <c r="S8" s="1120" t="s">
        <v>158</v>
      </c>
    </row>
    <row r="9" spans="1:20" s="82" customFormat="1" ht="75" customHeight="1" x14ac:dyDescent="0.25">
      <c r="A9" s="824"/>
      <c r="B9" s="1119"/>
      <c r="C9" s="86" t="s">
        <v>155</v>
      </c>
      <c r="D9" s="126" t="s">
        <v>157</v>
      </c>
      <c r="E9" s="86" t="s">
        <v>134</v>
      </c>
      <c r="F9" s="126" t="s">
        <v>156</v>
      </c>
      <c r="G9" s="86" t="s">
        <v>236</v>
      </c>
      <c r="H9" s="126" t="s">
        <v>157</v>
      </c>
      <c r="I9" s="86" t="s">
        <v>134</v>
      </c>
      <c r="J9" s="126" t="s">
        <v>156</v>
      </c>
      <c r="K9" s="86" t="s">
        <v>236</v>
      </c>
      <c r="L9" s="126" t="s">
        <v>157</v>
      </c>
      <c r="M9" s="86" t="s">
        <v>134</v>
      </c>
      <c r="N9" s="126" t="s">
        <v>156</v>
      </c>
      <c r="O9" s="86" t="s">
        <v>236</v>
      </c>
      <c r="P9" s="126" t="s">
        <v>157</v>
      </c>
      <c r="Q9" s="86" t="s">
        <v>134</v>
      </c>
      <c r="R9" s="127" t="s">
        <v>156</v>
      </c>
      <c r="S9" s="1120"/>
    </row>
    <row r="10" spans="1:20" s="82" customFormat="1" ht="16.149999999999999" customHeight="1" x14ac:dyDescent="0.25">
      <c r="A10" s="5">
        <v>1</v>
      </c>
      <c r="B10" s="85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118">
        <v>18</v>
      </c>
      <c r="S10" s="125">
        <v>19</v>
      </c>
    </row>
    <row r="11" spans="1:20" s="82" customFormat="1" ht="16.5" customHeight="1" x14ac:dyDescent="0.25">
      <c r="A11" s="260">
        <v>1</v>
      </c>
      <c r="B11" s="419" t="s">
        <v>890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471"/>
      <c r="S11" s="125"/>
    </row>
    <row r="12" spans="1:20" s="82" customFormat="1" ht="16.5" customHeight="1" x14ac:dyDescent="0.25">
      <c r="A12" s="260">
        <v>2</v>
      </c>
      <c r="B12" s="419" t="s">
        <v>891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471"/>
      <c r="S12" s="125"/>
    </row>
    <row r="13" spans="1:20" s="82" customFormat="1" ht="16.5" customHeight="1" x14ac:dyDescent="0.25">
      <c r="A13" s="260">
        <v>3</v>
      </c>
      <c r="B13" s="419" t="s">
        <v>892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471"/>
      <c r="S13" s="125"/>
    </row>
    <row r="14" spans="1:20" s="82" customFormat="1" ht="16.5" customHeight="1" x14ac:dyDescent="0.25">
      <c r="A14" s="260">
        <v>4</v>
      </c>
      <c r="B14" s="419" t="s">
        <v>893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471"/>
      <c r="S14" s="125"/>
    </row>
    <row r="15" spans="1:20" s="82" customFormat="1" ht="16.5" customHeight="1" x14ac:dyDescent="0.25">
      <c r="A15" s="260">
        <v>5</v>
      </c>
      <c r="B15" s="419" t="s">
        <v>894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471"/>
      <c r="S15" s="125"/>
    </row>
    <row r="16" spans="1:20" s="82" customFormat="1" ht="16.5" customHeight="1" x14ac:dyDescent="0.25">
      <c r="A16" s="260">
        <v>6</v>
      </c>
      <c r="B16" s="419" t="s">
        <v>895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471"/>
      <c r="S16" s="125"/>
    </row>
    <row r="17" spans="1:19" s="82" customFormat="1" ht="16.5" customHeight="1" x14ac:dyDescent="0.25">
      <c r="A17" s="260">
        <v>7</v>
      </c>
      <c r="B17" s="419" t="s">
        <v>896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471"/>
      <c r="S17" s="125"/>
    </row>
    <row r="18" spans="1:19" s="82" customFormat="1" ht="16.5" customHeight="1" x14ac:dyDescent="0.25">
      <c r="A18" s="260">
        <v>8</v>
      </c>
      <c r="B18" s="419" t="s">
        <v>897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471"/>
      <c r="S18" s="125"/>
    </row>
    <row r="19" spans="1:19" s="82" customFormat="1" ht="16.5" customHeight="1" x14ac:dyDescent="0.25">
      <c r="A19" s="260">
        <v>9</v>
      </c>
      <c r="B19" s="419" t="s">
        <v>898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471"/>
      <c r="S19" s="125"/>
    </row>
    <row r="20" spans="1:19" s="82" customFormat="1" ht="16.5" customHeight="1" x14ac:dyDescent="0.25">
      <c r="A20" s="260">
        <v>10</v>
      </c>
      <c r="B20" s="419" t="s">
        <v>899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71"/>
      <c r="S20" s="125"/>
    </row>
    <row r="21" spans="1:19" s="82" customFormat="1" ht="16.5" customHeight="1" x14ac:dyDescent="0.25">
      <c r="A21" s="260">
        <v>11</v>
      </c>
      <c r="B21" s="419" t="s">
        <v>900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471"/>
      <c r="S21" s="125"/>
    </row>
    <row r="22" spans="1:19" s="82" customFormat="1" ht="16.5" customHeight="1" x14ac:dyDescent="0.25">
      <c r="A22" s="260">
        <v>12</v>
      </c>
      <c r="B22" s="419" t="s">
        <v>941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118"/>
      <c r="S22" s="125"/>
    </row>
    <row r="23" spans="1:19" s="82" customFormat="1" ht="16.5" customHeight="1" x14ac:dyDescent="0.25">
      <c r="A23" s="260">
        <v>13</v>
      </c>
      <c r="B23" s="419" t="s">
        <v>902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118"/>
      <c r="S23" s="125"/>
    </row>
    <row r="24" spans="1:19" s="82" customFormat="1" ht="16.5" customHeight="1" x14ac:dyDescent="0.25">
      <c r="A24" s="260">
        <v>14</v>
      </c>
      <c r="B24" s="419" t="s">
        <v>903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118"/>
      <c r="S24" s="125"/>
    </row>
    <row r="25" spans="1:19" s="82" customFormat="1" ht="16.5" customHeight="1" x14ac:dyDescent="0.25">
      <c r="A25" s="260">
        <v>15</v>
      </c>
      <c r="B25" s="419" t="s">
        <v>904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118"/>
      <c r="S25" s="125"/>
    </row>
    <row r="26" spans="1:19" s="82" customFormat="1" ht="16.5" customHeight="1" x14ac:dyDescent="0.25">
      <c r="A26" s="260">
        <v>16</v>
      </c>
      <c r="B26" s="419" t="s">
        <v>905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118"/>
      <c r="S26" s="125"/>
    </row>
    <row r="27" spans="1:19" s="82" customFormat="1" ht="16.5" customHeight="1" x14ac:dyDescent="0.25">
      <c r="A27" s="260">
        <v>17</v>
      </c>
      <c r="B27" s="419" t="s">
        <v>906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118"/>
      <c r="S27" s="125"/>
    </row>
    <row r="28" spans="1:19" s="82" customFormat="1" ht="16.5" customHeight="1" x14ac:dyDescent="0.25">
      <c r="A28" s="260">
        <v>18</v>
      </c>
      <c r="B28" s="419" t="s">
        <v>907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118"/>
      <c r="S28" s="125"/>
    </row>
    <row r="29" spans="1:19" ht="16.5" customHeight="1" x14ac:dyDescent="0.25">
      <c r="A29" s="260">
        <v>19</v>
      </c>
      <c r="B29" s="419" t="s">
        <v>908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ht="16.5" customHeight="1" x14ac:dyDescent="0.25">
      <c r="A30" s="260">
        <v>20</v>
      </c>
      <c r="B30" s="419" t="s">
        <v>909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6.5" customHeight="1" x14ac:dyDescent="0.25">
      <c r="A31" s="260">
        <v>21</v>
      </c>
      <c r="B31" s="419" t="s">
        <v>910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6.5" customHeight="1" x14ac:dyDescent="0.25">
      <c r="A32" s="260">
        <v>22</v>
      </c>
      <c r="B32" s="419" t="s">
        <v>911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45" s="83" customFormat="1" ht="16.5" customHeight="1" x14ac:dyDescent="0.25">
      <c r="A33" s="260">
        <v>23</v>
      </c>
      <c r="B33" s="419" t="s">
        <v>912</v>
      </c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6.5" customHeight="1" x14ac:dyDescent="0.25">
      <c r="A34" s="260">
        <v>24</v>
      </c>
      <c r="B34" s="419" t="s">
        <v>913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45" ht="16.5" customHeight="1" x14ac:dyDescent="0.25">
      <c r="A35" s="260">
        <v>25</v>
      </c>
      <c r="B35" s="419" t="s">
        <v>919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45" ht="16.5" customHeight="1" x14ac:dyDescent="0.25">
      <c r="A36" s="260">
        <v>26</v>
      </c>
      <c r="B36" s="419" t="s">
        <v>914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45" ht="16.5" customHeight="1" x14ac:dyDescent="0.25">
      <c r="A37" s="260">
        <v>27</v>
      </c>
      <c r="B37" s="419" t="s">
        <v>915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45" x14ac:dyDescent="0.25">
      <c r="A38" s="306" t="s">
        <v>18</v>
      </c>
      <c r="B38" s="26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45" x14ac:dyDescent="0.25">
      <c r="A39" s="271" t="s">
        <v>485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45" s="569" customFormat="1" ht="12.75" customHeight="1" x14ac:dyDescent="0.2">
      <c r="A40" s="14"/>
      <c r="G40" s="14"/>
      <c r="H40" s="14"/>
      <c r="K40" s="14"/>
      <c r="L40" s="14"/>
      <c r="M40" s="14"/>
      <c r="N40" s="14"/>
      <c r="O40" s="14"/>
      <c r="P40" s="14"/>
      <c r="Q40" s="14"/>
      <c r="R40" s="563"/>
      <c r="S40" s="563"/>
    </row>
    <row r="41" spans="1:45" s="569" customFormat="1" ht="12.75" customHeight="1" x14ac:dyDescent="0.2">
      <c r="J41" s="14"/>
      <c r="K41" s="36"/>
      <c r="L41" s="36"/>
      <c r="M41" s="36"/>
      <c r="N41" s="36"/>
      <c r="O41" s="36"/>
      <c r="P41" s="36"/>
      <c r="Q41" s="36"/>
      <c r="R41" s="36"/>
      <c r="S41" s="36"/>
    </row>
    <row r="42" spans="1:45" s="569" customFormat="1" ht="12.75" customHeight="1" x14ac:dyDescent="0.2"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45" s="569" customFormat="1" ht="12.75" x14ac:dyDescent="0.2">
      <c r="A43" s="14"/>
      <c r="B43" s="14"/>
      <c r="K43" s="14"/>
      <c r="L43" s="14"/>
      <c r="M43" s="14"/>
      <c r="N43" s="810" t="s">
        <v>13</v>
      </c>
      <c r="O43" s="810"/>
      <c r="P43" s="810"/>
      <c r="Q43" s="810"/>
      <c r="R43" s="810"/>
      <c r="S43" s="36"/>
    </row>
    <row r="44" spans="1:45" x14ac:dyDescent="0.25">
      <c r="N44" s="810" t="s">
        <v>14</v>
      </c>
      <c r="O44" s="810"/>
      <c r="P44" s="810"/>
      <c r="Q44" s="810"/>
      <c r="R44" s="810"/>
    </row>
    <row r="45" spans="1:45" x14ac:dyDescent="0.25">
      <c r="N45" s="810" t="s">
        <v>918</v>
      </c>
      <c r="O45" s="810"/>
      <c r="P45" s="810"/>
      <c r="Q45" s="810"/>
      <c r="R45" s="810"/>
    </row>
    <row r="46" spans="1:45" x14ac:dyDescent="0.25">
      <c r="A46" s="492" t="s">
        <v>12</v>
      </c>
      <c r="N46" s="657"/>
      <c r="O46" s="207" t="s">
        <v>82</v>
      </c>
      <c r="P46" s="207"/>
      <c r="Q46" s="207"/>
      <c r="R46" s="207"/>
    </row>
  </sheetData>
  <mergeCells count="13">
    <mergeCell ref="N43:R43"/>
    <mergeCell ref="N44:R44"/>
    <mergeCell ref="N45:R45"/>
    <mergeCell ref="A8:A9"/>
    <mergeCell ref="B8:B9"/>
    <mergeCell ref="C8:F8"/>
    <mergeCell ref="G8:J8"/>
    <mergeCell ref="K8:N8"/>
    <mergeCell ref="G2:M2"/>
    <mergeCell ref="S8:S9"/>
    <mergeCell ref="O8:R8"/>
    <mergeCell ref="Q1:R1"/>
    <mergeCell ref="B4:T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  <pageSetUpPr fitToPage="1"/>
  </sheetPr>
  <dimension ref="A1:AB45"/>
  <sheetViews>
    <sheetView zoomScale="80" zoomScaleNormal="80" zoomScaleSheetLayoutView="100" workbookViewId="0"/>
  </sheetViews>
  <sheetFormatPr defaultRowHeight="15" x14ac:dyDescent="0.25"/>
  <cols>
    <col min="1" max="1" width="9.140625" style="77"/>
    <col min="2" max="2" width="25.140625" style="77" customWidth="1"/>
    <col min="3" max="3" width="17.5703125" style="77" customWidth="1"/>
    <col min="4" max="4" width="19.7109375" style="77" customWidth="1"/>
    <col min="5" max="5" width="18.140625" style="77" customWidth="1"/>
    <col min="6" max="6" width="15.42578125" style="77" customWidth="1"/>
    <col min="7" max="7" width="15.7109375" style="77" customWidth="1"/>
    <col min="8" max="8" width="12.28515625" style="77" customWidth="1"/>
    <col min="9" max="16384" width="9.140625" style="77"/>
  </cols>
  <sheetData>
    <row r="1" spans="1:8" s="15" customFormat="1" x14ac:dyDescent="0.2">
      <c r="C1" s="45"/>
      <c r="D1" s="45"/>
      <c r="E1" s="45"/>
      <c r="F1" s="965" t="s">
        <v>693</v>
      </c>
      <c r="G1" s="965"/>
    </row>
    <row r="2" spans="1:8" s="15" customFormat="1" ht="30.75" customHeight="1" x14ac:dyDescent="0.3">
      <c r="B2" s="863" t="s">
        <v>738</v>
      </c>
      <c r="C2" s="863"/>
      <c r="D2" s="863"/>
      <c r="E2" s="863"/>
      <c r="F2" s="863"/>
      <c r="G2" s="44"/>
      <c r="H2" s="44"/>
    </row>
    <row r="3" spans="1:8" s="15" customFormat="1" ht="20.25" x14ac:dyDescent="0.3">
      <c r="G3" s="122"/>
    </row>
    <row r="4" spans="1:8" ht="18" x14ac:dyDescent="0.25">
      <c r="B4" s="1117" t="s">
        <v>696</v>
      </c>
      <c r="C4" s="1117"/>
      <c r="D4" s="1117"/>
      <c r="E4" s="1117"/>
      <c r="F4" s="1117"/>
      <c r="G4" s="1117"/>
      <c r="H4" s="1117"/>
    </row>
    <row r="5" spans="1:8" ht="15.75" x14ac:dyDescent="0.25">
      <c r="C5" s="78"/>
      <c r="D5" s="79"/>
      <c r="E5" s="78"/>
      <c r="F5" s="78"/>
      <c r="G5" s="78"/>
      <c r="H5" s="78"/>
    </row>
    <row r="6" spans="1:8" ht="15.75" x14ac:dyDescent="0.3">
      <c r="A6" s="197" t="s">
        <v>917</v>
      </c>
      <c r="B6" s="197" t="s">
        <v>916</v>
      </c>
    </row>
    <row r="7" spans="1:8" x14ac:dyDescent="0.25">
      <c r="B7" s="299"/>
    </row>
    <row r="8" spans="1:8" s="82" customFormat="1" ht="30.75" customHeight="1" x14ac:dyDescent="0.25">
      <c r="A8" s="1122" t="s">
        <v>2</v>
      </c>
      <c r="B8" s="1123" t="s">
        <v>3</v>
      </c>
      <c r="C8" s="1123" t="s">
        <v>838</v>
      </c>
      <c r="D8" s="1124" t="s">
        <v>839</v>
      </c>
      <c r="E8" s="1123" t="s">
        <v>692</v>
      </c>
      <c r="F8" s="1123"/>
      <c r="G8" s="1123"/>
    </row>
    <row r="9" spans="1:8" s="82" customFormat="1" ht="48.75" customHeight="1" x14ac:dyDescent="0.25">
      <c r="A9" s="1122"/>
      <c r="B9" s="1123"/>
      <c r="C9" s="1123"/>
      <c r="D9" s="1125"/>
      <c r="E9" s="301" t="s">
        <v>697</v>
      </c>
      <c r="F9" s="301" t="s">
        <v>691</v>
      </c>
      <c r="G9" s="301" t="s">
        <v>18</v>
      </c>
    </row>
    <row r="10" spans="1:8" s="82" customFormat="1" ht="16.149999999999999" customHeight="1" x14ac:dyDescent="0.25">
      <c r="A10" s="705">
        <v>1</v>
      </c>
      <c r="B10" s="706">
        <v>2</v>
      </c>
      <c r="C10" s="706">
        <v>3</v>
      </c>
      <c r="D10" s="706">
        <v>4</v>
      </c>
      <c r="E10" s="707">
        <v>5</v>
      </c>
      <c r="F10" s="707">
        <v>6</v>
      </c>
      <c r="G10" s="707">
        <v>7</v>
      </c>
    </row>
    <row r="11" spans="1:8" s="82" customFormat="1" ht="16.149999999999999" customHeight="1" x14ac:dyDescent="0.25">
      <c r="A11" s="556">
        <v>1</v>
      </c>
      <c r="B11" s="419" t="s">
        <v>890</v>
      </c>
      <c r="C11" s="553">
        <v>734</v>
      </c>
      <c r="D11" s="708">
        <v>104</v>
      </c>
      <c r="E11" s="554">
        <f t="shared" ref="E11:E37" si="0">D11*6000/100000</f>
        <v>6.24</v>
      </c>
      <c r="F11" s="554">
        <f t="shared" ref="F11:F37" si="1">D11*4000/100000</f>
        <v>4.16</v>
      </c>
      <c r="G11" s="554">
        <f t="shared" ref="G11:G37" si="2">SUM(E11:F11)</f>
        <v>10.4</v>
      </c>
    </row>
    <row r="12" spans="1:8" s="82" customFormat="1" ht="16.149999999999999" customHeight="1" x14ac:dyDescent="0.25">
      <c r="A12" s="556">
        <v>2</v>
      </c>
      <c r="B12" s="419" t="s">
        <v>891</v>
      </c>
      <c r="C12" s="553">
        <v>1008</v>
      </c>
      <c r="D12" s="708">
        <v>306</v>
      </c>
      <c r="E12" s="554">
        <f t="shared" si="0"/>
        <v>18.36</v>
      </c>
      <c r="F12" s="554">
        <f t="shared" si="1"/>
        <v>12.24</v>
      </c>
      <c r="G12" s="554">
        <f t="shared" si="2"/>
        <v>30.6</v>
      </c>
    </row>
    <row r="13" spans="1:8" s="82" customFormat="1" ht="16.149999999999999" customHeight="1" x14ac:dyDescent="0.25">
      <c r="A13" s="556">
        <v>3</v>
      </c>
      <c r="B13" s="419" t="s">
        <v>892</v>
      </c>
      <c r="C13" s="553">
        <v>1128</v>
      </c>
      <c r="D13" s="708">
        <v>217</v>
      </c>
      <c r="E13" s="554">
        <f t="shared" si="0"/>
        <v>13.02</v>
      </c>
      <c r="F13" s="554">
        <f t="shared" si="1"/>
        <v>8.68</v>
      </c>
      <c r="G13" s="554">
        <f t="shared" si="2"/>
        <v>21.7</v>
      </c>
    </row>
    <row r="14" spans="1:8" s="82" customFormat="1" ht="16.149999999999999" customHeight="1" x14ac:dyDescent="0.25">
      <c r="A14" s="556">
        <v>4</v>
      </c>
      <c r="B14" s="419" t="s">
        <v>893</v>
      </c>
      <c r="C14" s="553">
        <v>1227</v>
      </c>
      <c r="D14" s="708">
        <v>358</v>
      </c>
      <c r="E14" s="554">
        <f t="shared" si="0"/>
        <v>21.48</v>
      </c>
      <c r="F14" s="554">
        <f t="shared" si="1"/>
        <v>14.32</v>
      </c>
      <c r="G14" s="554">
        <f t="shared" si="2"/>
        <v>35.799999999999997</v>
      </c>
    </row>
    <row r="15" spans="1:8" s="82" customFormat="1" ht="16.149999999999999" customHeight="1" x14ac:dyDescent="0.25">
      <c r="A15" s="556">
        <v>5</v>
      </c>
      <c r="B15" s="419" t="s">
        <v>894</v>
      </c>
      <c r="C15" s="553">
        <v>622</v>
      </c>
      <c r="D15" s="708">
        <v>179</v>
      </c>
      <c r="E15" s="554">
        <f t="shared" si="0"/>
        <v>10.74</v>
      </c>
      <c r="F15" s="554">
        <f t="shared" si="1"/>
        <v>7.16</v>
      </c>
      <c r="G15" s="554">
        <f t="shared" si="2"/>
        <v>17.899999999999999</v>
      </c>
    </row>
    <row r="16" spans="1:8" s="82" customFormat="1" ht="16.149999999999999" customHeight="1" x14ac:dyDescent="0.25">
      <c r="A16" s="556">
        <v>6</v>
      </c>
      <c r="B16" s="419" t="s">
        <v>895</v>
      </c>
      <c r="C16" s="555">
        <v>349</v>
      </c>
      <c r="D16" s="708">
        <v>64</v>
      </c>
      <c r="E16" s="554">
        <f t="shared" si="0"/>
        <v>3.84</v>
      </c>
      <c r="F16" s="554">
        <f t="shared" si="1"/>
        <v>2.56</v>
      </c>
      <c r="G16" s="554">
        <f t="shared" si="2"/>
        <v>6.4</v>
      </c>
    </row>
    <row r="17" spans="1:28" s="82" customFormat="1" ht="16.149999999999999" customHeight="1" x14ac:dyDescent="0.25">
      <c r="A17" s="556">
        <v>7</v>
      </c>
      <c r="B17" s="419" t="s">
        <v>896</v>
      </c>
      <c r="C17" s="553">
        <v>1397</v>
      </c>
      <c r="D17" s="708">
        <v>884</v>
      </c>
      <c r="E17" s="554">
        <f t="shared" si="0"/>
        <v>53.04</v>
      </c>
      <c r="F17" s="554">
        <f t="shared" si="1"/>
        <v>35.36</v>
      </c>
      <c r="G17" s="554">
        <f t="shared" si="2"/>
        <v>88.4</v>
      </c>
    </row>
    <row r="18" spans="1:28" s="82" customFormat="1" ht="16.149999999999999" customHeight="1" x14ac:dyDescent="0.25">
      <c r="A18" s="556">
        <v>8</v>
      </c>
      <c r="B18" s="419" t="s">
        <v>897</v>
      </c>
      <c r="C18" s="555">
        <v>521</v>
      </c>
      <c r="D18" s="708">
        <v>100</v>
      </c>
      <c r="E18" s="554">
        <f t="shared" si="0"/>
        <v>6</v>
      </c>
      <c r="F18" s="554">
        <f t="shared" si="1"/>
        <v>4</v>
      </c>
      <c r="G18" s="554">
        <f t="shared" si="2"/>
        <v>10</v>
      </c>
    </row>
    <row r="19" spans="1:28" s="82" customFormat="1" ht="16.149999999999999" customHeight="1" x14ac:dyDescent="0.25">
      <c r="A19" s="556">
        <v>9</v>
      </c>
      <c r="B19" s="419" t="s">
        <v>898</v>
      </c>
      <c r="C19" s="555">
        <v>777</v>
      </c>
      <c r="D19" s="708">
        <v>178</v>
      </c>
      <c r="E19" s="554">
        <f t="shared" si="0"/>
        <v>10.68</v>
      </c>
      <c r="F19" s="554">
        <f t="shared" si="1"/>
        <v>7.12</v>
      </c>
      <c r="G19" s="554">
        <f t="shared" si="2"/>
        <v>17.8</v>
      </c>
    </row>
    <row r="20" spans="1:28" s="82" customFormat="1" ht="16.149999999999999" customHeight="1" x14ac:dyDescent="0.25">
      <c r="A20" s="556">
        <v>10</v>
      </c>
      <c r="B20" s="419" t="s">
        <v>899</v>
      </c>
      <c r="C20" s="553">
        <v>562</v>
      </c>
      <c r="D20" s="708">
        <v>86</v>
      </c>
      <c r="E20" s="554">
        <f t="shared" si="0"/>
        <v>5.16</v>
      </c>
      <c r="F20" s="554">
        <f t="shared" si="1"/>
        <v>3.44</v>
      </c>
      <c r="G20" s="554">
        <f t="shared" si="2"/>
        <v>8.6</v>
      </c>
    </row>
    <row r="21" spans="1:28" s="82" customFormat="1" ht="16.149999999999999" customHeight="1" x14ac:dyDescent="0.25">
      <c r="A21" s="556">
        <v>11</v>
      </c>
      <c r="B21" s="419" t="s">
        <v>900</v>
      </c>
      <c r="C21" s="553">
        <v>825</v>
      </c>
      <c r="D21" s="708">
        <v>48</v>
      </c>
      <c r="E21" s="554">
        <f t="shared" si="0"/>
        <v>2.88</v>
      </c>
      <c r="F21" s="554">
        <f t="shared" si="1"/>
        <v>1.92</v>
      </c>
      <c r="G21" s="554">
        <f t="shared" si="2"/>
        <v>4.8</v>
      </c>
    </row>
    <row r="22" spans="1:28" s="82" customFormat="1" ht="16.149999999999999" customHeight="1" x14ac:dyDescent="0.25">
      <c r="A22" s="556">
        <v>12</v>
      </c>
      <c r="B22" s="419" t="s">
        <v>941</v>
      </c>
      <c r="C22" s="553">
        <v>1275</v>
      </c>
      <c r="D22" s="708">
        <v>350</v>
      </c>
      <c r="E22" s="554">
        <f t="shared" si="0"/>
        <v>21</v>
      </c>
      <c r="F22" s="554">
        <f t="shared" si="1"/>
        <v>14</v>
      </c>
      <c r="G22" s="554">
        <f t="shared" si="2"/>
        <v>35</v>
      </c>
    </row>
    <row r="23" spans="1:28" s="82" customFormat="1" ht="16.149999999999999" customHeight="1" x14ac:dyDescent="0.25">
      <c r="A23" s="556">
        <v>13</v>
      </c>
      <c r="B23" s="419" t="s">
        <v>902</v>
      </c>
      <c r="C23" s="555">
        <v>1307</v>
      </c>
      <c r="D23" s="708">
        <v>195</v>
      </c>
      <c r="E23" s="554">
        <f t="shared" si="0"/>
        <v>11.7</v>
      </c>
      <c r="F23" s="554">
        <f t="shared" si="1"/>
        <v>7.8</v>
      </c>
      <c r="G23" s="554">
        <f t="shared" si="2"/>
        <v>19.5</v>
      </c>
    </row>
    <row r="24" spans="1:28" s="82" customFormat="1" ht="16.149999999999999" customHeight="1" x14ac:dyDescent="0.25">
      <c r="A24" s="556">
        <v>14</v>
      </c>
      <c r="B24" s="419" t="s">
        <v>903</v>
      </c>
      <c r="C24" s="555">
        <v>1055</v>
      </c>
      <c r="D24" s="708">
        <v>144</v>
      </c>
      <c r="E24" s="554">
        <f t="shared" si="0"/>
        <v>8.64</v>
      </c>
      <c r="F24" s="554">
        <f t="shared" si="1"/>
        <v>5.76</v>
      </c>
      <c r="G24" s="554">
        <f t="shared" si="2"/>
        <v>14.4</v>
      </c>
    </row>
    <row r="25" spans="1:28" s="82" customFormat="1" ht="16.149999999999999" customHeight="1" x14ac:dyDescent="0.25">
      <c r="A25" s="556">
        <v>15</v>
      </c>
      <c r="B25" s="419" t="s">
        <v>904</v>
      </c>
      <c r="C25" s="555">
        <v>850</v>
      </c>
      <c r="D25" s="708">
        <v>123</v>
      </c>
      <c r="E25" s="554">
        <f t="shared" si="0"/>
        <v>7.38</v>
      </c>
      <c r="F25" s="554">
        <f t="shared" si="1"/>
        <v>4.92</v>
      </c>
      <c r="G25" s="554">
        <f t="shared" si="2"/>
        <v>12.3</v>
      </c>
    </row>
    <row r="26" spans="1:28" s="82" customFormat="1" ht="16.149999999999999" customHeight="1" x14ac:dyDescent="0.25">
      <c r="A26" s="556">
        <v>16</v>
      </c>
      <c r="B26" s="419" t="s">
        <v>905</v>
      </c>
      <c r="C26" s="553">
        <v>1083</v>
      </c>
      <c r="D26" s="708">
        <v>106</v>
      </c>
      <c r="E26" s="554">
        <f t="shared" si="0"/>
        <v>6.36</v>
      </c>
      <c r="F26" s="554">
        <f t="shared" si="1"/>
        <v>4.24</v>
      </c>
      <c r="G26" s="554">
        <f t="shared" si="2"/>
        <v>10.600000000000001</v>
      </c>
    </row>
    <row r="27" spans="1:28" s="82" customFormat="1" ht="16.149999999999999" customHeight="1" x14ac:dyDescent="0.25">
      <c r="A27" s="556">
        <v>17</v>
      </c>
      <c r="B27" s="419" t="s">
        <v>906</v>
      </c>
      <c r="C27" s="553">
        <v>1188</v>
      </c>
      <c r="D27" s="708">
        <v>259</v>
      </c>
      <c r="E27" s="554">
        <f t="shared" si="0"/>
        <v>15.54</v>
      </c>
      <c r="F27" s="554">
        <f t="shared" si="1"/>
        <v>10.36</v>
      </c>
      <c r="G27" s="554">
        <f t="shared" si="2"/>
        <v>25.9</v>
      </c>
    </row>
    <row r="28" spans="1:28" ht="15.75" x14ac:dyDescent="0.25">
      <c r="A28" s="556">
        <v>18</v>
      </c>
      <c r="B28" s="419" t="s">
        <v>907</v>
      </c>
      <c r="C28" s="553">
        <v>788</v>
      </c>
      <c r="D28" s="708">
        <v>112</v>
      </c>
      <c r="E28" s="554">
        <f t="shared" si="0"/>
        <v>6.72</v>
      </c>
      <c r="F28" s="554">
        <f t="shared" si="1"/>
        <v>4.4800000000000004</v>
      </c>
      <c r="G28" s="554">
        <f t="shared" si="2"/>
        <v>11.2</v>
      </c>
    </row>
    <row r="29" spans="1:28" ht="15.75" x14ac:dyDescent="0.25">
      <c r="A29" s="556">
        <v>19</v>
      </c>
      <c r="B29" s="419" t="s">
        <v>908</v>
      </c>
      <c r="C29" s="555">
        <v>997</v>
      </c>
      <c r="D29" s="708">
        <v>14</v>
      </c>
      <c r="E29" s="554">
        <f t="shared" si="0"/>
        <v>0.84</v>
      </c>
      <c r="F29" s="554">
        <f t="shared" si="1"/>
        <v>0.56000000000000005</v>
      </c>
      <c r="G29" s="554">
        <f t="shared" si="2"/>
        <v>1.4</v>
      </c>
    </row>
    <row r="30" spans="1:28" ht="15.75" x14ac:dyDescent="0.25">
      <c r="A30" s="556">
        <v>20</v>
      </c>
      <c r="B30" s="419" t="s">
        <v>909</v>
      </c>
      <c r="C30" s="555">
        <v>543</v>
      </c>
      <c r="D30" s="708">
        <v>186</v>
      </c>
      <c r="E30" s="554">
        <f t="shared" si="0"/>
        <v>11.16</v>
      </c>
      <c r="F30" s="554">
        <f t="shared" si="1"/>
        <v>7.44</v>
      </c>
      <c r="G30" s="554">
        <f t="shared" si="2"/>
        <v>18.600000000000001</v>
      </c>
    </row>
    <row r="31" spans="1:28" ht="15.75" x14ac:dyDescent="0.25">
      <c r="A31" s="556">
        <v>21</v>
      </c>
      <c r="B31" s="419" t="s">
        <v>910</v>
      </c>
      <c r="C31" s="553">
        <v>269</v>
      </c>
      <c r="D31" s="708">
        <v>14</v>
      </c>
      <c r="E31" s="554">
        <f t="shared" si="0"/>
        <v>0.84</v>
      </c>
      <c r="F31" s="554">
        <f t="shared" si="1"/>
        <v>0.56000000000000005</v>
      </c>
      <c r="G31" s="554">
        <f t="shared" si="2"/>
        <v>1.4</v>
      </c>
    </row>
    <row r="32" spans="1:28" s="83" customFormat="1" ht="15.75" x14ac:dyDescent="0.25">
      <c r="A32" s="556">
        <v>22</v>
      </c>
      <c r="B32" s="419" t="s">
        <v>911</v>
      </c>
      <c r="C32" s="553">
        <v>1666</v>
      </c>
      <c r="D32" s="708">
        <v>481</v>
      </c>
      <c r="E32" s="554">
        <f t="shared" si="0"/>
        <v>28.86</v>
      </c>
      <c r="F32" s="554">
        <f t="shared" si="1"/>
        <v>19.239999999999998</v>
      </c>
      <c r="G32" s="554">
        <f t="shared" si="2"/>
        <v>48.099999999999994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8" ht="15.75" x14ac:dyDescent="0.25">
      <c r="A33" s="556">
        <v>23</v>
      </c>
      <c r="B33" s="419" t="s">
        <v>912</v>
      </c>
      <c r="C33" s="553">
        <v>713</v>
      </c>
      <c r="D33" s="708">
        <v>37</v>
      </c>
      <c r="E33" s="554">
        <f t="shared" si="0"/>
        <v>2.2200000000000002</v>
      </c>
      <c r="F33" s="554">
        <f t="shared" si="1"/>
        <v>1.48</v>
      </c>
      <c r="G33" s="554">
        <f t="shared" si="2"/>
        <v>3.7</v>
      </c>
    </row>
    <row r="34" spans="1:8" ht="15.75" x14ac:dyDescent="0.25">
      <c r="A34" s="556">
        <v>24</v>
      </c>
      <c r="B34" s="419" t="s">
        <v>913</v>
      </c>
      <c r="C34" s="553">
        <v>1488</v>
      </c>
      <c r="D34" s="708">
        <v>155</v>
      </c>
      <c r="E34" s="554">
        <f t="shared" si="0"/>
        <v>9.3000000000000007</v>
      </c>
      <c r="F34" s="554">
        <f t="shared" si="1"/>
        <v>6.2</v>
      </c>
      <c r="G34" s="554">
        <f t="shared" si="2"/>
        <v>15.5</v>
      </c>
    </row>
    <row r="35" spans="1:8" ht="15.75" x14ac:dyDescent="0.25">
      <c r="A35" s="556">
        <v>25</v>
      </c>
      <c r="B35" s="419" t="s">
        <v>919</v>
      </c>
      <c r="C35" s="553">
        <v>1096</v>
      </c>
      <c r="D35" s="708">
        <v>140</v>
      </c>
      <c r="E35" s="554">
        <f t="shared" si="0"/>
        <v>8.4</v>
      </c>
      <c r="F35" s="554">
        <f t="shared" si="1"/>
        <v>5.6</v>
      </c>
      <c r="G35" s="554">
        <f t="shared" si="2"/>
        <v>14</v>
      </c>
    </row>
    <row r="36" spans="1:8" ht="15.75" x14ac:dyDescent="0.25">
      <c r="A36" s="556">
        <v>26</v>
      </c>
      <c r="B36" s="419" t="s">
        <v>914</v>
      </c>
      <c r="C36" s="553">
        <v>379</v>
      </c>
      <c r="D36" s="708">
        <v>26</v>
      </c>
      <c r="E36" s="554">
        <f t="shared" si="0"/>
        <v>1.56</v>
      </c>
      <c r="F36" s="554">
        <f t="shared" si="1"/>
        <v>1.04</v>
      </c>
      <c r="G36" s="554">
        <f t="shared" si="2"/>
        <v>2.6</v>
      </c>
    </row>
    <row r="37" spans="1:8" ht="15.75" x14ac:dyDescent="0.25">
      <c r="A37" s="556">
        <v>27</v>
      </c>
      <c r="B37" s="419" t="s">
        <v>915</v>
      </c>
      <c r="C37" s="553">
        <v>1102</v>
      </c>
      <c r="D37" s="708">
        <v>577</v>
      </c>
      <c r="E37" s="554">
        <f t="shared" si="0"/>
        <v>34.619999999999997</v>
      </c>
      <c r="F37" s="554">
        <f t="shared" si="1"/>
        <v>23.08</v>
      </c>
      <c r="G37" s="554">
        <f t="shared" si="2"/>
        <v>57.699999999999996</v>
      </c>
    </row>
    <row r="38" spans="1:8" ht="18.75" x14ac:dyDescent="0.3">
      <c r="A38" s="703"/>
      <c r="B38" s="704" t="s">
        <v>18</v>
      </c>
      <c r="C38" s="709">
        <f>SUM(C11:C37)</f>
        <v>24949</v>
      </c>
      <c r="D38" s="711">
        <f>SUM(D11:D37)</f>
        <v>5443</v>
      </c>
      <c r="E38" s="711">
        <f>SUM(E11:E37)</f>
        <v>326.58</v>
      </c>
      <c r="F38" s="711">
        <f>SUM(F11:F37)</f>
        <v>217.71999999999997</v>
      </c>
      <c r="G38" s="712">
        <f>SUM(G11:G37)</f>
        <v>544.29999999999995</v>
      </c>
    </row>
    <row r="39" spans="1:8" s="569" customFormat="1" ht="12.75" customHeight="1" x14ac:dyDescent="0.2">
      <c r="A39" s="14"/>
      <c r="G39" s="14"/>
    </row>
    <row r="40" spans="1:8" s="569" customFormat="1" ht="12.75" x14ac:dyDescent="0.2">
      <c r="A40" s="14"/>
      <c r="B40" s="14"/>
    </row>
    <row r="41" spans="1:8" x14ac:dyDescent="0.25">
      <c r="F41" s="563"/>
      <c r="G41" s="563"/>
    </row>
    <row r="42" spans="1:8" x14ac:dyDescent="0.25">
      <c r="A42" s="14"/>
      <c r="C42" s="810" t="s">
        <v>13</v>
      </c>
      <c r="D42" s="810"/>
      <c r="E42" s="810"/>
      <c r="F42" s="810"/>
      <c r="G42" s="810"/>
      <c r="H42" s="36"/>
    </row>
    <row r="43" spans="1:8" x14ac:dyDescent="0.25">
      <c r="B43" s="36"/>
      <c r="C43" s="810" t="s">
        <v>14</v>
      </c>
      <c r="D43" s="810"/>
      <c r="E43" s="810"/>
      <c r="F43" s="810"/>
      <c r="G43" s="810"/>
      <c r="H43" s="36"/>
    </row>
    <row r="44" spans="1:8" x14ac:dyDescent="0.25">
      <c r="A44" s="569"/>
      <c r="B44" s="14"/>
      <c r="C44" s="810" t="s">
        <v>918</v>
      </c>
      <c r="D44" s="810"/>
      <c r="E44" s="810"/>
      <c r="F44" s="810"/>
      <c r="G44" s="810"/>
    </row>
    <row r="45" spans="1:8" x14ac:dyDescent="0.25">
      <c r="A45" s="492" t="s">
        <v>12</v>
      </c>
      <c r="C45" s="657"/>
      <c r="D45" s="207" t="s">
        <v>82</v>
      </c>
      <c r="E45" s="207"/>
      <c r="F45" s="207"/>
      <c r="G45" s="207"/>
    </row>
  </sheetData>
  <mergeCells count="11">
    <mergeCell ref="C42:G42"/>
    <mergeCell ref="C43:G43"/>
    <mergeCell ref="C44:G44"/>
    <mergeCell ref="B2:F2"/>
    <mergeCell ref="F1:G1"/>
    <mergeCell ref="E8:G8"/>
    <mergeCell ref="A8:A9"/>
    <mergeCell ref="B8:B9"/>
    <mergeCell ref="C8:C9"/>
    <mergeCell ref="D8:D9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  <pageSetUpPr fitToPage="1"/>
  </sheetPr>
  <dimension ref="A1:AV46"/>
  <sheetViews>
    <sheetView zoomScale="90" zoomScaleNormal="90" zoomScaleSheetLayoutView="90" workbookViewId="0">
      <selection activeCell="A46" sqref="A46"/>
    </sheetView>
  </sheetViews>
  <sheetFormatPr defaultRowHeight="15" x14ac:dyDescent="0.25"/>
  <cols>
    <col min="1" max="1" width="9.140625" style="77"/>
    <col min="2" max="2" width="15.28515625" style="77" customWidth="1"/>
    <col min="3" max="3" width="9.7109375" style="77" customWidth="1"/>
    <col min="4" max="4" width="8.140625" style="77" customWidth="1"/>
    <col min="5" max="5" width="7.42578125" style="77" customWidth="1"/>
    <col min="6" max="6" width="9.140625" style="77" customWidth="1"/>
    <col min="7" max="7" width="9.5703125" style="77" customWidth="1"/>
    <col min="8" max="8" width="8.140625" style="77" customWidth="1"/>
    <col min="9" max="9" width="6.85546875" style="77" customWidth="1"/>
    <col min="10" max="10" width="9.28515625" style="77" customWidth="1"/>
    <col min="11" max="11" width="10.5703125" style="77" customWidth="1"/>
    <col min="12" max="12" width="8.7109375" style="77" customWidth="1"/>
    <col min="13" max="13" width="7.42578125" style="77" customWidth="1"/>
    <col min="14" max="14" width="8.5703125" style="77" customWidth="1"/>
    <col min="15" max="15" width="8.7109375" style="77" customWidth="1"/>
    <col min="16" max="16" width="8.5703125" style="77" customWidth="1"/>
    <col min="17" max="17" width="7.85546875" style="77" customWidth="1"/>
    <col min="18" max="18" width="8.5703125" style="77" customWidth="1"/>
    <col min="19" max="20" width="10.5703125" style="77" customWidth="1"/>
    <col min="21" max="21" width="11.140625" style="77" customWidth="1"/>
    <col min="22" max="22" width="10.7109375" style="77" bestFit="1" customWidth="1"/>
    <col min="23" max="16384" width="9.140625" style="77"/>
  </cols>
  <sheetData>
    <row r="1" spans="1:24" s="15" customFormat="1" ht="15.75" x14ac:dyDescent="0.25">
      <c r="C1" s="45"/>
      <c r="D1" s="45"/>
      <c r="E1" s="45"/>
      <c r="F1" s="45"/>
      <c r="G1" s="45"/>
      <c r="H1" s="45"/>
      <c r="I1" s="104" t="s">
        <v>0</v>
      </c>
      <c r="J1" s="104"/>
      <c r="S1" s="41"/>
      <c r="T1" s="41"/>
      <c r="U1" s="926" t="s">
        <v>534</v>
      </c>
      <c r="V1" s="926"/>
      <c r="W1" s="43"/>
      <c r="X1" s="43"/>
    </row>
    <row r="2" spans="1:24" s="15" customFormat="1" ht="20.25" x14ac:dyDescent="0.3">
      <c r="E2" s="863" t="s">
        <v>738</v>
      </c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</row>
    <row r="3" spans="1:24" s="15" customFormat="1" ht="20.25" x14ac:dyDescent="0.3">
      <c r="H3" s="44"/>
      <c r="I3" s="44"/>
      <c r="J3" s="44"/>
      <c r="K3" s="44"/>
      <c r="L3" s="44"/>
      <c r="M3" s="44"/>
      <c r="N3" s="44"/>
      <c r="O3" s="44"/>
      <c r="P3" s="44"/>
    </row>
    <row r="4" spans="1:24" ht="15.75" x14ac:dyDescent="0.25">
      <c r="C4" s="856" t="s">
        <v>753</v>
      </c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47"/>
      <c r="S4" s="109"/>
      <c r="T4" s="109"/>
      <c r="U4" s="109"/>
      <c r="V4" s="109"/>
      <c r="W4" s="104"/>
    </row>
    <row r="5" spans="1:24" x14ac:dyDescent="0.2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15.75" x14ac:dyDescent="0.3">
      <c r="A6" s="197" t="s">
        <v>917</v>
      </c>
      <c r="B6" s="197" t="s">
        <v>916</v>
      </c>
    </row>
    <row r="7" spans="1:24" x14ac:dyDescent="0.25">
      <c r="B7" s="299"/>
    </row>
    <row r="8" spans="1:24" s="81" customFormat="1" ht="24.75" customHeight="1" x14ac:dyDescent="0.25">
      <c r="A8" s="824" t="s">
        <v>2</v>
      </c>
      <c r="B8" s="1115" t="s">
        <v>3</v>
      </c>
      <c r="C8" s="1112" t="s">
        <v>683</v>
      </c>
      <c r="D8" s="1113"/>
      <c r="E8" s="1113"/>
      <c r="F8" s="1113"/>
      <c r="G8" s="1112" t="s">
        <v>687</v>
      </c>
      <c r="H8" s="1113"/>
      <c r="I8" s="1113"/>
      <c r="J8" s="1113"/>
      <c r="K8" s="1112" t="s">
        <v>688</v>
      </c>
      <c r="L8" s="1113"/>
      <c r="M8" s="1113"/>
      <c r="N8" s="1113"/>
      <c r="O8" s="1112" t="s">
        <v>689</v>
      </c>
      <c r="P8" s="1113"/>
      <c r="Q8" s="1113"/>
      <c r="R8" s="1113"/>
      <c r="S8" s="1131" t="s">
        <v>18</v>
      </c>
      <c r="T8" s="1132"/>
      <c r="U8" s="1132"/>
      <c r="V8" s="1132"/>
    </row>
    <row r="9" spans="1:24" s="82" customFormat="1" ht="29.25" customHeight="1" x14ac:dyDescent="0.25">
      <c r="A9" s="824"/>
      <c r="B9" s="1115"/>
      <c r="C9" s="1126" t="s">
        <v>684</v>
      </c>
      <c r="D9" s="1128" t="s">
        <v>686</v>
      </c>
      <c r="E9" s="1129"/>
      <c r="F9" s="1130"/>
      <c r="G9" s="1126" t="s">
        <v>684</v>
      </c>
      <c r="H9" s="1128" t="s">
        <v>686</v>
      </c>
      <c r="I9" s="1129"/>
      <c r="J9" s="1130"/>
      <c r="K9" s="1126" t="s">
        <v>684</v>
      </c>
      <c r="L9" s="1128" t="s">
        <v>686</v>
      </c>
      <c r="M9" s="1129"/>
      <c r="N9" s="1130"/>
      <c r="O9" s="1126" t="s">
        <v>684</v>
      </c>
      <c r="P9" s="1128" t="s">
        <v>686</v>
      </c>
      <c r="Q9" s="1129"/>
      <c r="R9" s="1130"/>
      <c r="S9" s="1126" t="s">
        <v>684</v>
      </c>
      <c r="T9" s="1128" t="s">
        <v>686</v>
      </c>
      <c r="U9" s="1129"/>
      <c r="V9" s="1130"/>
    </row>
    <row r="10" spans="1:24" s="82" customFormat="1" ht="46.5" customHeight="1" x14ac:dyDescent="0.25">
      <c r="A10" s="824"/>
      <c r="B10" s="1115"/>
      <c r="C10" s="1127"/>
      <c r="D10" s="76" t="s">
        <v>685</v>
      </c>
      <c r="E10" s="76" t="s">
        <v>200</v>
      </c>
      <c r="F10" s="76" t="s">
        <v>18</v>
      </c>
      <c r="G10" s="1127"/>
      <c r="H10" s="76" t="s">
        <v>685</v>
      </c>
      <c r="I10" s="76" t="s">
        <v>200</v>
      </c>
      <c r="J10" s="76" t="s">
        <v>18</v>
      </c>
      <c r="K10" s="1127"/>
      <c r="L10" s="76" t="s">
        <v>685</v>
      </c>
      <c r="M10" s="76" t="s">
        <v>200</v>
      </c>
      <c r="N10" s="76" t="s">
        <v>18</v>
      </c>
      <c r="O10" s="1127"/>
      <c r="P10" s="76" t="s">
        <v>685</v>
      </c>
      <c r="Q10" s="76" t="s">
        <v>200</v>
      </c>
      <c r="R10" s="76" t="s">
        <v>18</v>
      </c>
      <c r="S10" s="1127"/>
      <c r="T10" s="76" t="s">
        <v>685</v>
      </c>
      <c r="U10" s="76" t="s">
        <v>200</v>
      </c>
      <c r="V10" s="76" t="s">
        <v>18</v>
      </c>
    </row>
    <row r="11" spans="1:24" s="146" customFormat="1" ht="16.149999999999999" customHeight="1" x14ac:dyDescent="0.25">
      <c r="A11" s="300">
        <v>1</v>
      </c>
      <c r="B11" s="145">
        <v>2</v>
      </c>
      <c r="C11" s="145">
        <v>3</v>
      </c>
      <c r="D11" s="300">
        <v>4</v>
      </c>
      <c r="E11" s="145">
        <v>5</v>
      </c>
      <c r="F11" s="145">
        <v>6</v>
      </c>
      <c r="G11" s="300">
        <v>7</v>
      </c>
      <c r="H11" s="145">
        <v>8</v>
      </c>
      <c r="I11" s="145">
        <v>9</v>
      </c>
      <c r="J11" s="300">
        <v>10</v>
      </c>
      <c r="K11" s="145">
        <v>11</v>
      </c>
      <c r="L11" s="145">
        <v>12</v>
      </c>
      <c r="M11" s="300">
        <v>13</v>
      </c>
      <c r="N11" s="145">
        <v>14</v>
      </c>
      <c r="O11" s="145">
        <v>15</v>
      </c>
      <c r="P11" s="300">
        <v>16</v>
      </c>
      <c r="Q11" s="145">
        <v>17</v>
      </c>
      <c r="R11" s="145">
        <v>18</v>
      </c>
      <c r="S11" s="300">
        <v>19</v>
      </c>
      <c r="T11" s="145">
        <v>20</v>
      </c>
      <c r="U11" s="145">
        <v>21</v>
      </c>
      <c r="V11" s="300">
        <v>22</v>
      </c>
    </row>
    <row r="12" spans="1:24" s="146" customFormat="1" ht="16.149999999999999" customHeight="1" x14ac:dyDescent="0.25">
      <c r="A12" s="556">
        <v>1</v>
      </c>
      <c r="B12" s="419" t="s">
        <v>890</v>
      </c>
      <c r="C12" s="145"/>
      <c r="D12" s="300"/>
      <c r="E12" s="145"/>
      <c r="F12" s="145"/>
      <c r="G12" s="300"/>
      <c r="H12" s="145"/>
      <c r="I12" s="145"/>
      <c r="J12" s="300"/>
      <c r="K12" s="145"/>
      <c r="L12" s="145"/>
      <c r="M12" s="300"/>
      <c r="N12" s="145"/>
      <c r="O12" s="145"/>
      <c r="P12" s="300"/>
      <c r="Q12" s="145"/>
      <c r="R12" s="145"/>
      <c r="S12" s="300"/>
      <c r="T12" s="145"/>
      <c r="U12" s="145"/>
      <c r="V12" s="300"/>
    </row>
    <row r="13" spans="1:24" s="146" customFormat="1" ht="16.149999999999999" customHeight="1" x14ac:dyDescent="0.25">
      <c r="A13" s="556">
        <v>2</v>
      </c>
      <c r="B13" s="419" t="s">
        <v>891</v>
      </c>
      <c r="C13" s="145"/>
      <c r="D13" s="300"/>
      <c r="E13" s="145"/>
      <c r="F13" s="145"/>
      <c r="G13" s="300"/>
      <c r="H13" s="145"/>
      <c r="I13" s="145"/>
      <c r="J13" s="300"/>
      <c r="K13" s="145"/>
      <c r="L13" s="145"/>
      <c r="M13" s="300"/>
      <c r="N13" s="145"/>
      <c r="O13" s="145"/>
      <c r="P13" s="300"/>
      <c r="Q13" s="145"/>
      <c r="R13" s="145"/>
      <c r="S13" s="300"/>
      <c r="T13" s="145"/>
      <c r="U13" s="145"/>
      <c r="V13" s="300"/>
    </row>
    <row r="14" spans="1:24" s="146" customFormat="1" ht="16.149999999999999" customHeight="1" x14ac:dyDescent="0.25">
      <c r="A14" s="556">
        <v>3</v>
      </c>
      <c r="B14" s="419" t="s">
        <v>892</v>
      </c>
      <c r="C14" s="145"/>
      <c r="D14" s="300"/>
      <c r="E14" s="145"/>
      <c r="F14" s="145"/>
      <c r="G14" s="300"/>
      <c r="H14" s="145"/>
      <c r="I14" s="145"/>
      <c r="J14" s="300"/>
      <c r="K14" s="145"/>
      <c r="L14" s="145"/>
      <c r="M14" s="300"/>
      <c r="N14" s="145"/>
      <c r="O14" s="145"/>
      <c r="P14" s="300"/>
      <c r="Q14" s="145"/>
      <c r="R14" s="145"/>
      <c r="S14" s="300"/>
      <c r="T14" s="145"/>
      <c r="U14" s="145"/>
      <c r="V14" s="300"/>
    </row>
    <row r="15" spans="1:24" s="146" customFormat="1" ht="16.149999999999999" customHeight="1" x14ac:dyDescent="0.25">
      <c r="A15" s="556">
        <v>4</v>
      </c>
      <c r="B15" s="419" t="s">
        <v>893</v>
      </c>
      <c r="C15" s="145"/>
      <c r="D15" s="300"/>
      <c r="E15" s="145"/>
      <c r="F15" s="145"/>
      <c r="G15" s="300"/>
      <c r="H15" s="145"/>
      <c r="I15" s="145"/>
      <c r="J15" s="300"/>
      <c r="K15" s="145"/>
      <c r="L15" s="145"/>
      <c r="M15" s="300"/>
      <c r="N15" s="145"/>
      <c r="O15" s="145"/>
      <c r="P15" s="300"/>
      <c r="Q15" s="145"/>
      <c r="R15" s="145"/>
      <c r="S15" s="300"/>
      <c r="T15" s="145"/>
      <c r="U15" s="145"/>
      <c r="V15" s="300"/>
    </row>
    <row r="16" spans="1:24" s="146" customFormat="1" ht="16.149999999999999" customHeight="1" x14ac:dyDescent="0.25">
      <c r="A16" s="556">
        <v>5</v>
      </c>
      <c r="B16" s="419" t="s">
        <v>894</v>
      </c>
      <c r="C16" s="145"/>
      <c r="D16" s="300"/>
      <c r="E16" s="145"/>
      <c r="F16" s="145"/>
      <c r="G16" s="300"/>
      <c r="H16" s="145"/>
      <c r="I16" s="145"/>
      <c r="J16" s="300"/>
      <c r="K16" s="145"/>
      <c r="L16" s="145"/>
      <c r="M16" s="300"/>
      <c r="N16" s="145"/>
      <c r="O16" s="145"/>
      <c r="P16" s="300"/>
      <c r="Q16" s="145"/>
      <c r="R16" s="145"/>
      <c r="S16" s="300"/>
      <c r="T16" s="145"/>
      <c r="U16" s="145"/>
      <c r="V16" s="300"/>
    </row>
    <row r="17" spans="1:22" s="146" customFormat="1" ht="16.149999999999999" customHeight="1" x14ac:dyDescent="0.25">
      <c r="A17" s="556">
        <v>6</v>
      </c>
      <c r="B17" s="419" t="s">
        <v>895</v>
      </c>
      <c r="C17" s="145"/>
      <c r="D17" s="300"/>
      <c r="E17" s="145"/>
      <c r="F17" s="145"/>
      <c r="G17" s="300"/>
      <c r="H17" s="145"/>
      <c r="I17" s="145"/>
      <c r="J17" s="300"/>
      <c r="K17" s="145"/>
      <c r="L17" s="145"/>
      <c r="M17" s="300"/>
      <c r="N17" s="145"/>
      <c r="O17" s="145"/>
      <c r="P17" s="300"/>
      <c r="Q17" s="145"/>
      <c r="R17" s="145"/>
      <c r="S17" s="300"/>
      <c r="T17" s="145"/>
      <c r="U17" s="145"/>
      <c r="V17" s="300"/>
    </row>
    <row r="18" spans="1:22" s="146" customFormat="1" ht="16.149999999999999" customHeight="1" x14ac:dyDescent="0.25">
      <c r="A18" s="556">
        <v>7</v>
      </c>
      <c r="B18" s="419" t="s">
        <v>896</v>
      </c>
      <c r="C18" s="145"/>
      <c r="D18" s="300"/>
      <c r="E18" s="145"/>
      <c r="F18" s="145"/>
      <c r="G18" s="300"/>
      <c r="H18" s="145"/>
      <c r="I18" s="145"/>
      <c r="J18" s="300"/>
      <c r="K18" s="145"/>
      <c r="L18" s="145"/>
      <c r="M18" s="300"/>
      <c r="N18" s="145"/>
      <c r="O18" s="145"/>
      <c r="P18" s="300"/>
      <c r="Q18" s="145"/>
      <c r="R18" s="145"/>
      <c r="S18" s="300"/>
      <c r="T18" s="145"/>
      <c r="U18" s="145"/>
      <c r="V18" s="300"/>
    </row>
    <row r="19" spans="1:22" s="146" customFormat="1" ht="16.149999999999999" customHeight="1" x14ac:dyDescent="0.25">
      <c r="A19" s="556">
        <v>8</v>
      </c>
      <c r="B19" s="419" t="s">
        <v>897</v>
      </c>
      <c r="C19" s="145"/>
      <c r="D19" s="300"/>
      <c r="E19" s="145"/>
      <c r="F19" s="145"/>
      <c r="G19" s="300"/>
      <c r="H19" s="145"/>
      <c r="I19" s="145"/>
      <c r="J19" s="300"/>
      <c r="K19" s="145"/>
      <c r="L19" s="145"/>
      <c r="M19" s="300"/>
      <c r="N19" s="145"/>
      <c r="O19" s="145"/>
      <c r="P19" s="300"/>
      <c r="Q19" s="145"/>
      <c r="R19" s="145"/>
      <c r="S19" s="300"/>
      <c r="T19" s="145"/>
      <c r="U19" s="145"/>
      <c r="V19" s="300"/>
    </row>
    <row r="20" spans="1:22" s="146" customFormat="1" ht="16.149999999999999" customHeight="1" x14ac:dyDescent="0.25">
      <c r="A20" s="556">
        <v>9</v>
      </c>
      <c r="B20" s="419" t="s">
        <v>898</v>
      </c>
      <c r="C20" s="145"/>
      <c r="D20" s="300"/>
      <c r="E20" s="145"/>
      <c r="F20" s="145"/>
      <c r="G20" s="300"/>
      <c r="H20" s="145"/>
      <c r="I20" s="145"/>
      <c r="J20" s="300"/>
      <c r="K20" s="145"/>
      <c r="L20" s="145"/>
      <c r="M20" s="300"/>
      <c r="N20" s="145"/>
      <c r="O20" s="145"/>
      <c r="P20" s="300"/>
      <c r="Q20" s="145"/>
      <c r="R20" s="145"/>
      <c r="S20" s="300"/>
      <c r="T20" s="145"/>
      <c r="U20" s="145"/>
      <c r="V20" s="300"/>
    </row>
    <row r="21" spans="1:22" s="146" customFormat="1" ht="16.149999999999999" customHeight="1" x14ac:dyDescent="0.25">
      <c r="A21" s="556">
        <v>10</v>
      </c>
      <c r="B21" s="419" t="s">
        <v>899</v>
      </c>
      <c r="C21" s="145"/>
      <c r="D21" s="300"/>
      <c r="E21" s="145"/>
      <c r="F21" s="145"/>
      <c r="G21" s="300"/>
      <c r="H21" s="145"/>
      <c r="I21" s="145"/>
      <c r="J21" s="300"/>
      <c r="K21" s="145"/>
      <c r="L21" s="145"/>
      <c r="M21" s="300"/>
      <c r="N21" s="145"/>
      <c r="O21" s="145"/>
      <c r="P21" s="300"/>
      <c r="Q21" s="145"/>
      <c r="R21" s="145"/>
      <c r="S21" s="300"/>
      <c r="T21" s="145"/>
      <c r="U21" s="145"/>
      <c r="V21" s="300"/>
    </row>
    <row r="22" spans="1:22" s="146" customFormat="1" ht="16.149999999999999" customHeight="1" x14ac:dyDescent="0.25">
      <c r="A22" s="556">
        <v>11</v>
      </c>
      <c r="B22" s="419" t="s">
        <v>900</v>
      </c>
      <c r="C22" s="145"/>
      <c r="D22" s="300"/>
      <c r="E22" s="145"/>
      <c r="F22" s="145"/>
      <c r="G22" s="300"/>
      <c r="H22" s="145"/>
      <c r="I22" s="145"/>
      <c r="J22" s="300"/>
      <c r="K22" s="145"/>
      <c r="L22" s="145"/>
      <c r="M22" s="300"/>
      <c r="N22" s="145"/>
      <c r="O22" s="145"/>
      <c r="P22" s="300"/>
      <c r="Q22" s="145"/>
      <c r="R22" s="145"/>
      <c r="S22" s="300"/>
      <c r="T22" s="145"/>
      <c r="U22" s="145"/>
      <c r="V22" s="300"/>
    </row>
    <row r="23" spans="1:22" ht="15.75" x14ac:dyDescent="0.25">
      <c r="A23" s="556">
        <v>12</v>
      </c>
      <c r="B23" s="419" t="s">
        <v>941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15.75" x14ac:dyDescent="0.25">
      <c r="A24" s="556">
        <v>13</v>
      </c>
      <c r="B24" s="419" t="s">
        <v>902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5.75" x14ac:dyDescent="0.25">
      <c r="A25" s="556">
        <v>14</v>
      </c>
      <c r="B25" s="419" t="s">
        <v>903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22" ht="15.75" x14ac:dyDescent="0.25">
      <c r="A26" s="556">
        <v>15</v>
      </c>
      <c r="B26" s="419" t="s">
        <v>904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15.75" x14ac:dyDescent="0.25">
      <c r="A27" s="556">
        <v>16</v>
      </c>
      <c r="B27" s="419" t="s">
        <v>905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</row>
    <row r="28" spans="1:22" ht="15.75" x14ac:dyDescent="0.25">
      <c r="A28" s="556">
        <v>17</v>
      </c>
      <c r="B28" s="419" t="s">
        <v>906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</row>
    <row r="29" spans="1:22" ht="15.75" x14ac:dyDescent="0.25">
      <c r="A29" s="556">
        <v>18</v>
      </c>
      <c r="B29" s="419" t="s">
        <v>907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ht="15.75" x14ac:dyDescent="0.25">
      <c r="A30" s="556">
        <v>19</v>
      </c>
      <c r="B30" s="419" t="s">
        <v>908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15.75" x14ac:dyDescent="0.25">
      <c r="A31" s="556">
        <v>20</v>
      </c>
      <c r="B31" s="419" t="s">
        <v>909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</row>
    <row r="32" spans="1:22" ht="15.75" x14ac:dyDescent="0.25">
      <c r="A32" s="556">
        <v>21</v>
      </c>
      <c r="B32" s="419" t="s">
        <v>910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</row>
    <row r="33" spans="1:48" ht="15.75" x14ac:dyDescent="0.25">
      <c r="A33" s="556">
        <v>22</v>
      </c>
      <c r="B33" s="419" t="s">
        <v>911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</row>
    <row r="34" spans="1:48" ht="15.75" x14ac:dyDescent="0.25">
      <c r="A34" s="556">
        <v>23</v>
      </c>
      <c r="B34" s="419" t="s">
        <v>912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48" ht="15.75" x14ac:dyDescent="0.25">
      <c r="A35" s="556">
        <v>24</v>
      </c>
      <c r="B35" s="419" t="s">
        <v>913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48" ht="15.75" x14ac:dyDescent="0.25">
      <c r="A36" s="556">
        <v>25</v>
      </c>
      <c r="B36" s="419" t="s">
        <v>919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48" s="83" customFormat="1" ht="15.75" x14ac:dyDescent="0.25">
      <c r="A37" s="556">
        <v>26</v>
      </c>
      <c r="B37" s="419" t="s">
        <v>914</v>
      </c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pans="1:48" ht="15.75" x14ac:dyDescent="0.25">
      <c r="A38" s="556">
        <v>27</v>
      </c>
      <c r="B38" s="419" t="s">
        <v>915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48" x14ac:dyDescent="0.25">
      <c r="A39" s="272" t="s">
        <v>18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1" spans="1:48" s="569" customFormat="1" ht="12.75" x14ac:dyDescent="0.2">
      <c r="A41" s="14"/>
      <c r="G41" s="14"/>
      <c r="H41" s="14"/>
      <c r="K41" s="14"/>
      <c r="L41" s="14"/>
      <c r="M41" s="14"/>
      <c r="N41" s="14"/>
      <c r="O41" s="14"/>
      <c r="P41" s="14"/>
      <c r="Q41" s="14"/>
      <c r="R41" s="14"/>
      <c r="S41" s="563"/>
      <c r="T41" s="563"/>
      <c r="U41" s="563"/>
      <c r="V41" s="563"/>
    </row>
    <row r="42" spans="1:48" s="569" customFormat="1" ht="12.75" customHeight="1" x14ac:dyDescent="0.2"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48" s="569" customFormat="1" ht="12.75" customHeight="1" x14ac:dyDescent="0.2">
      <c r="J43" s="36"/>
      <c r="K43" s="36"/>
      <c r="L43" s="36"/>
      <c r="M43" s="36"/>
      <c r="N43" s="36"/>
      <c r="O43" s="36"/>
      <c r="P43" s="36"/>
      <c r="Q43" s="36"/>
      <c r="R43" s="810" t="s">
        <v>13</v>
      </c>
      <c r="S43" s="810"/>
      <c r="T43" s="810"/>
      <c r="U43" s="810"/>
      <c r="V43" s="810"/>
    </row>
    <row r="44" spans="1:48" s="569" customFormat="1" ht="12.75" x14ac:dyDescent="0.2">
      <c r="A44" s="14"/>
      <c r="B44" s="14"/>
      <c r="K44" s="14"/>
      <c r="L44" s="14"/>
      <c r="M44" s="14"/>
      <c r="N44" s="14"/>
      <c r="O44" s="14"/>
      <c r="P44" s="14"/>
      <c r="Q44" s="36"/>
      <c r="R44" s="810" t="s">
        <v>14</v>
      </c>
      <c r="S44" s="810"/>
      <c r="T44" s="810"/>
      <c r="U44" s="810"/>
      <c r="V44" s="810"/>
    </row>
    <row r="45" spans="1:48" x14ac:dyDescent="0.25">
      <c r="R45" s="810" t="s">
        <v>918</v>
      </c>
      <c r="S45" s="810"/>
      <c r="T45" s="810"/>
      <c r="U45" s="810"/>
      <c r="V45" s="810"/>
    </row>
    <row r="46" spans="1:48" x14ac:dyDescent="0.25">
      <c r="A46" s="492" t="s">
        <v>12</v>
      </c>
      <c r="R46" s="657"/>
      <c r="S46" s="207" t="s">
        <v>82</v>
      </c>
      <c r="T46" s="207"/>
      <c r="U46" s="207"/>
      <c r="V46" s="207"/>
    </row>
  </sheetData>
  <mergeCells count="23">
    <mergeCell ref="R43:V43"/>
    <mergeCell ref="R44:V44"/>
    <mergeCell ref="R45:V45"/>
    <mergeCell ref="O9:O10"/>
    <mergeCell ref="P9:R9"/>
    <mergeCell ref="S9:S10"/>
    <mergeCell ref="T9:V9"/>
    <mergeCell ref="U1:V1"/>
    <mergeCell ref="E2:P2"/>
    <mergeCell ref="C4:Q4"/>
    <mergeCell ref="O8:R8"/>
    <mergeCell ref="S8:V8"/>
    <mergeCell ref="A8:A10"/>
    <mergeCell ref="B8:B10"/>
    <mergeCell ref="C8:F8"/>
    <mergeCell ref="G8:J8"/>
    <mergeCell ref="K8:N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  <pageSetUpPr fitToPage="1"/>
  </sheetPr>
  <dimension ref="A1:AV47"/>
  <sheetViews>
    <sheetView topLeftCell="A20" zoomScale="90" zoomScaleNormal="90" zoomScaleSheetLayoutView="90" workbookViewId="0">
      <selection activeCell="A47" sqref="A47"/>
    </sheetView>
  </sheetViews>
  <sheetFormatPr defaultRowHeight="15" x14ac:dyDescent="0.25"/>
  <cols>
    <col min="1" max="1" width="9.140625" style="77"/>
    <col min="2" max="2" width="17.28515625" style="77" customWidth="1"/>
    <col min="3" max="3" width="9.7109375" style="77" customWidth="1"/>
    <col min="4" max="4" width="8.140625" style="77" customWidth="1"/>
    <col min="5" max="5" width="7.42578125" style="77" customWidth="1"/>
    <col min="6" max="6" width="9.140625" style="77" customWidth="1"/>
    <col min="7" max="7" width="9.5703125" style="77" customWidth="1"/>
    <col min="8" max="8" width="9.7109375" style="77" customWidth="1"/>
    <col min="9" max="9" width="8.85546875" style="77" customWidth="1"/>
    <col min="10" max="10" width="9.28515625" style="77" customWidth="1"/>
    <col min="11" max="11" width="10.5703125" style="77" customWidth="1"/>
    <col min="12" max="12" width="8.7109375" style="77" customWidth="1"/>
    <col min="13" max="13" width="7.42578125" style="77" customWidth="1"/>
    <col min="14" max="14" width="8.5703125" style="77" customWidth="1"/>
    <col min="15" max="15" width="8.7109375" style="77" customWidth="1"/>
    <col min="16" max="16" width="8.5703125" style="77" customWidth="1"/>
    <col min="17" max="17" width="7.85546875" style="77" customWidth="1"/>
    <col min="18" max="18" width="8.5703125" style="77" customWidth="1"/>
    <col min="19" max="20" width="10.5703125" style="77" customWidth="1"/>
    <col min="21" max="21" width="11.140625" style="77" customWidth="1"/>
    <col min="22" max="22" width="10.7109375" style="77" bestFit="1" customWidth="1"/>
    <col min="23" max="16384" width="9.140625" style="77"/>
  </cols>
  <sheetData>
    <row r="1" spans="1:24" s="15" customFormat="1" ht="15.75" x14ac:dyDescent="0.25">
      <c r="C1" s="45"/>
      <c r="D1" s="45"/>
      <c r="E1" s="45"/>
      <c r="F1" s="45"/>
      <c r="G1" s="45"/>
      <c r="H1" s="45"/>
      <c r="I1" s="104" t="s">
        <v>0</v>
      </c>
      <c r="J1" s="104"/>
      <c r="S1" s="41"/>
      <c r="T1" s="41"/>
      <c r="U1" s="926" t="s">
        <v>690</v>
      </c>
      <c r="V1" s="926"/>
      <c r="W1" s="43"/>
      <c r="X1" s="43"/>
    </row>
    <row r="2" spans="1:24" s="15" customFormat="1" ht="20.25" x14ac:dyDescent="0.3">
      <c r="E2" s="863" t="s">
        <v>738</v>
      </c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</row>
    <row r="3" spans="1:24" s="15" customFormat="1" ht="20.25" x14ac:dyDescent="0.3">
      <c r="H3" s="44"/>
      <c r="I3" s="44"/>
      <c r="J3" s="44"/>
      <c r="K3" s="44"/>
      <c r="L3" s="44"/>
      <c r="M3" s="44"/>
      <c r="N3" s="44"/>
      <c r="O3" s="44"/>
      <c r="P3" s="44"/>
    </row>
    <row r="4" spans="1:24" ht="15.75" x14ac:dyDescent="0.25">
      <c r="C4" s="856" t="s">
        <v>754</v>
      </c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47"/>
      <c r="S4" s="109"/>
      <c r="T4" s="109"/>
      <c r="U4" s="109"/>
      <c r="V4" s="109"/>
      <c r="W4" s="104"/>
    </row>
    <row r="5" spans="1:24" x14ac:dyDescent="0.2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 ht="15.75" x14ac:dyDescent="0.3">
      <c r="A6" s="197" t="s">
        <v>917</v>
      </c>
      <c r="B6" s="197" t="s">
        <v>916</v>
      </c>
    </row>
    <row r="7" spans="1:24" x14ac:dyDescent="0.25">
      <c r="B7" s="299"/>
    </row>
    <row r="8" spans="1:24" s="81" customFormat="1" ht="24.75" customHeight="1" x14ac:dyDescent="0.25">
      <c r="A8" s="824" t="s">
        <v>2</v>
      </c>
      <c r="B8" s="1115" t="s">
        <v>3</v>
      </c>
      <c r="C8" s="1112" t="s">
        <v>683</v>
      </c>
      <c r="D8" s="1113"/>
      <c r="E8" s="1113"/>
      <c r="F8" s="1113"/>
      <c r="G8" s="1112" t="s">
        <v>687</v>
      </c>
      <c r="H8" s="1113"/>
      <c r="I8" s="1113"/>
      <c r="J8" s="1113"/>
      <c r="K8" s="1112" t="s">
        <v>688</v>
      </c>
      <c r="L8" s="1113"/>
      <c r="M8" s="1113"/>
      <c r="N8" s="1113"/>
      <c r="O8" s="1112" t="s">
        <v>689</v>
      </c>
      <c r="P8" s="1113"/>
      <c r="Q8" s="1113"/>
      <c r="R8" s="1113"/>
      <c r="S8" s="1131" t="s">
        <v>18</v>
      </c>
      <c r="T8" s="1132"/>
      <c r="U8" s="1132"/>
      <c r="V8" s="1132"/>
    </row>
    <row r="9" spans="1:24" s="82" customFormat="1" ht="29.25" customHeight="1" x14ac:dyDescent="0.25">
      <c r="A9" s="824"/>
      <c r="B9" s="1115"/>
      <c r="C9" s="1126" t="s">
        <v>684</v>
      </c>
      <c r="D9" s="1128" t="s">
        <v>686</v>
      </c>
      <c r="E9" s="1129"/>
      <c r="F9" s="1130"/>
      <c r="G9" s="1126" t="s">
        <v>684</v>
      </c>
      <c r="H9" s="1128" t="s">
        <v>686</v>
      </c>
      <c r="I9" s="1129"/>
      <c r="J9" s="1130"/>
      <c r="K9" s="1126" t="s">
        <v>684</v>
      </c>
      <c r="L9" s="1128" t="s">
        <v>686</v>
      </c>
      <c r="M9" s="1129"/>
      <c r="N9" s="1130"/>
      <c r="O9" s="1126" t="s">
        <v>684</v>
      </c>
      <c r="P9" s="1128" t="s">
        <v>686</v>
      </c>
      <c r="Q9" s="1129"/>
      <c r="R9" s="1130"/>
      <c r="S9" s="1126" t="s">
        <v>684</v>
      </c>
      <c r="T9" s="1128" t="s">
        <v>686</v>
      </c>
      <c r="U9" s="1129"/>
      <c r="V9" s="1130"/>
    </row>
    <row r="10" spans="1:24" s="82" customFormat="1" ht="46.5" customHeight="1" x14ac:dyDescent="0.25">
      <c r="A10" s="824"/>
      <c r="B10" s="1115"/>
      <c r="C10" s="1127"/>
      <c r="D10" s="76" t="s">
        <v>685</v>
      </c>
      <c r="E10" s="76" t="s">
        <v>200</v>
      </c>
      <c r="F10" s="76" t="s">
        <v>18</v>
      </c>
      <c r="G10" s="1127"/>
      <c r="H10" s="76" t="s">
        <v>685</v>
      </c>
      <c r="I10" s="76" t="s">
        <v>200</v>
      </c>
      <c r="J10" s="76" t="s">
        <v>18</v>
      </c>
      <c r="K10" s="1127"/>
      <c r="L10" s="76" t="s">
        <v>685</v>
      </c>
      <c r="M10" s="76" t="s">
        <v>200</v>
      </c>
      <c r="N10" s="76" t="s">
        <v>18</v>
      </c>
      <c r="O10" s="1127"/>
      <c r="P10" s="76" t="s">
        <v>685</v>
      </c>
      <c r="Q10" s="76" t="s">
        <v>200</v>
      </c>
      <c r="R10" s="76" t="s">
        <v>18</v>
      </c>
      <c r="S10" s="1127"/>
      <c r="T10" s="76" t="s">
        <v>685</v>
      </c>
      <c r="U10" s="76" t="s">
        <v>200</v>
      </c>
      <c r="V10" s="76" t="s">
        <v>18</v>
      </c>
    </row>
    <row r="11" spans="1:24" s="146" customFormat="1" ht="16.149999999999999" customHeight="1" x14ac:dyDescent="0.25">
      <c r="A11" s="300">
        <v>1</v>
      </c>
      <c r="B11" s="145">
        <v>2</v>
      </c>
      <c r="C11" s="145">
        <v>3</v>
      </c>
      <c r="D11" s="300">
        <v>4</v>
      </c>
      <c r="E11" s="145">
        <v>5</v>
      </c>
      <c r="F11" s="145">
        <v>6</v>
      </c>
      <c r="G11" s="300">
        <v>7</v>
      </c>
      <c r="H11" s="145">
        <v>8</v>
      </c>
      <c r="I11" s="145">
        <v>9</v>
      </c>
      <c r="J11" s="300">
        <v>10</v>
      </c>
      <c r="K11" s="145">
        <v>11</v>
      </c>
      <c r="L11" s="145">
        <v>12</v>
      </c>
      <c r="M11" s="300">
        <v>13</v>
      </c>
      <c r="N11" s="145">
        <v>14</v>
      </c>
      <c r="O11" s="145">
        <v>15</v>
      </c>
      <c r="P11" s="300">
        <v>16</v>
      </c>
      <c r="Q11" s="145">
        <v>17</v>
      </c>
      <c r="R11" s="145">
        <v>18</v>
      </c>
      <c r="S11" s="300">
        <v>19</v>
      </c>
      <c r="T11" s="145">
        <v>20</v>
      </c>
      <c r="U11" s="145">
        <v>21</v>
      </c>
      <c r="V11" s="300">
        <v>22</v>
      </c>
    </row>
    <row r="12" spans="1:24" s="146" customFormat="1" ht="16.5" customHeight="1" x14ac:dyDescent="0.25">
      <c r="A12" s="556">
        <v>1</v>
      </c>
      <c r="B12" s="419" t="s">
        <v>890</v>
      </c>
      <c r="C12" s="623">
        <v>0</v>
      </c>
      <c r="D12" s="625">
        <f>C12*10000*0.6</f>
        <v>0</v>
      </c>
      <c r="E12" s="626">
        <f>C12*10000*0.4</f>
        <v>0</v>
      </c>
      <c r="F12" s="626">
        <f>SUM(D12:E12)</f>
        <v>0</v>
      </c>
      <c r="G12" s="627">
        <v>477</v>
      </c>
      <c r="H12" s="628">
        <f>G12*15000*0.6/100000</f>
        <v>42.93</v>
      </c>
      <c r="I12" s="629">
        <f>G12*15000*0.4/100000</f>
        <v>28.62</v>
      </c>
      <c r="J12" s="629">
        <f>SUM(H12:I12)</f>
        <v>71.55</v>
      </c>
      <c r="K12" s="623">
        <v>37</v>
      </c>
      <c r="L12" s="628">
        <f>K12*20000*0.6/100000</f>
        <v>4.4400000000000004</v>
      </c>
      <c r="M12" s="629">
        <f>K12*20000*0.4/100000</f>
        <v>2.96</v>
      </c>
      <c r="N12" s="629">
        <f>SUM(L12:M12)</f>
        <v>7.4</v>
      </c>
      <c r="O12" s="623">
        <v>3</v>
      </c>
      <c r="P12" s="628">
        <f>O12*25000*0.6/100000</f>
        <v>0.45</v>
      </c>
      <c r="Q12" s="629">
        <f>O12*25000*0.4/100000</f>
        <v>0.3</v>
      </c>
      <c r="R12" s="629">
        <f>SUM(P12:Q12)</f>
        <v>0.75</v>
      </c>
      <c r="S12" s="625">
        <f>C12+G12+K12+O12</f>
        <v>517</v>
      </c>
      <c r="T12" s="628">
        <f>D12+H12+L12+P12</f>
        <v>47.82</v>
      </c>
      <c r="U12" s="628">
        <f>E12+I12+M12+Q12</f>
        <v>31.880000000000003</v>
      </c>
      <c r="V12" s="628">
        <f>SUM(T12:U12)</f>
        <v>79.7</v>
      </c>
    </row>
    <row r="13" spans="1:24" s="146" customFormat="1" ht="16.5" customHeight="1" x14ac:dyDescent="0.25">
      <c r="A13" s="556">
        <v>2</v>
      </c>
      <c r="B13" s="419" t="s">
        <v>891</v>
      </c>
      <c r="C13" s="623">
        <v>0</v>
      </c>
      <c r="D13" s="625">
        <f t="shared" ref="D13:D38" si="0">C13*10000*0.6</f>
        <v>0</v>
      </c>
      <c r="E13" s="626">
        <f t="shared" ref="E13:E38" si="1">C13*10000*0.4</f>
        <v>0</v>
      </c>
      <c r="F13" s="626">
        <f t="shared" ref="F13:F38" si="2">SUM(D13:E13)</f>
        <v>0</v>
      </c>
      <c r="G13" s="627">
        <v>798</v>
      </c>
      <c r="H13" s="628">
        <f t="shared" ref="H13:H38" si="3">G13*15000*0.6/100000</f>
        <v>71.819999999999993</v>
      </c>
      <c r="I13" s="629">
        <f t="shared" ref="I13:I38" si="4">G13*15000*0.4/100000</f>
        <v>47.88</v>
      </c>
      <c r="J13" s="629">
        <f t="shared" ref="J13:J38" si="5">SUM(H13:I13)</f>
        <v>119.69999999999999</v>
      </c>
      <c r="K13" s="623">
        <v>283</v>
      </c>
      <c r="L13" s="628">
        <f t="shared" ref="L13:L38" si="6">K13*20000*0.6/100000</f>
        <v>33.96</v>
      </c>
      <c r="M13" s="629">
        <f t="shared" ref="M13:M38" si="7">K13*20000*0.4/100000</f>
        <v>22.64</v>
      </c>
      <c r="N13" s="629">
        <f t="shared" ref="N13:N38" si="8">SUM(L13:M13)</f>
        <v>56.6</v>
      </c>
      <c r="O13" s="623">
        <v>72</v>
      </c>
      <c r="P13" s="628">
        <f t="shared" ref="P13:P38" si="9">O13*25000*0.6/100000</f>
        <v>10.8</v>
      </c>
      <c r="Q13" s="629">
        <f t="shared" ref="Q13:Q38" si="10">O13*25000*0.4/100000</f>
        <v>7.2</v>
      </c>
      <c r="R13" s="629">
        <f t="shared" ref="R13:R38" si="11">SUM(P13:Q13)</f>
        <v>18</v>
      </c>
      <c r="S13" s="625">
        <f t="shared" ref="S13:S38" si="12">C13+G13+K13+O13</f>
        <v>1153</v>
      </c>
      <c r="T13" s="628">
        <f t="shared" ref="T13:T38" si="13">D13+H13+L13+P13</f>
        <v>116.58</v>
      </c>
      <c r="U13" s="628">
        <f t="shared" ref="U13:U38" si="14">E13+I13+M13+Q13</f>
        <v>77.720000000000013</v>
      </c>
      <c r="V13" s="628">
        <f t="shared" ref="V13:V38" si="15">SUM(T13:U13)</f>
        <v>194.3</v>
      </c>
    </row>
    <row r="14" spans="1:24" s="146" customFormat="1" ht="16.5" customHeight="1" x14ac:dyDescent="0.25">
      <c r="A14" s="556">
        <v>3</v>
      </c>
      <c r="B14" s="419" t="s">
        <v>892</v>
      </c>
      <c r="C14" s="623">
        <v>0</v>
      </c>
      <c r="D14" s="625">
        <f t="shared" si="0"/>
        <v>0</v>
      </c>
      <c r="E14" s="626">
        <f t="shared" si="1"/>
        <v>0</v>
      </c>
      <c r="F14" s="626">
        <f t="shared" si="2"/>
        <v>0</v>
      </c>
      <c r="G14" s="627">
        <v>503</v>
      </c>
      <c r="H14" s="628">
        <f t="shared" si="3"/>
        <v>45.27</v>
      </c>
      <c r="I14" s="629">
        <f t="shared" si="4"/>
        <v>30.18</v>
      </c>
      <c r="J14" s="629">
        <f t="shared" si="5"/>
        <v>75.45</v>
      </c>
      <c r="K14" s="623">
        <v>56</v>
      </c>
      <c r="L14" s="628">
        <f t="shared" si="6"/>
        <v>6.72</v>
      </c>
      <c r="M14" s="629">
        <f t="shared" si="7"/>
        <v>4.4800000000000004</v>
      </c>
      <c r="N14" s="629">
        <f t="shared" si="8"/>
        <v>11.2</v>
      </c>
      <c r="O14" s="623">
        <v>8</v>
      </c>
      <c r="P14" s="628">
        <f t="shared" si="9"/>
        <v>1.2</v>
      </c>
      <c r="Q14" s="629">
        <f t="shared" si="10"/>
        <v>0.8</v>
      </c>
      <c r="R14" s="629">
        <f t="shared" si="11"/>
        <v>2</v>
      </c>
      <c r="S14" s="625">
        <f t="shared" si="12"/>
        <v>567</v>
      </c>
      <c r="T14" s="628">
        <f t="shared" si="13"/>
        <v>53.190000000000005</v>
      </c>
      <c r="U14" s="628">
        <f t="shared" si="14"/>
        <v>35.459999999999994</v>
      </c>
      <c r="V14" s="628">
        <f t="shared" si="15"/>
        <v>88.65</v>
      </c>
    </row>
    <row r="15" spans="1:24" s="146" customFormat="1" ht="16.5" customHeight="1" x14ac:dyDescent="0.25">
      <c r="A15" s="556">
        <v>4</v>
      </c>
      <c r="B15" s="419" t="s">
        <v>893</v>
      </c>
      <c r="C15" s="623">
        <v>0</v>
      </c>
      <c r="D15" s="625">
        <f t="shared" si="0"/>
        <v>0</v>
      </c>
      <c r="E15" s="626">
        <f t="shared" si="1"/>
        <v>0</v>
      </c>
      <c r="F15" s="626">
        <f t="shared" si="2"/>
        <v>0</v>
      </c>
      <c r="G15" s="627">
        <v>433</v>
      </c>
      <c r="H15" s="628">
        <f t="shared" si="3"/>
        <v>38.97</v>
      </c>
      <c r="I15" s="629">
        <f t="shared" si="4"/>
        <v>25.98</v>
      </c>
      <c r="J15" s="629">
        <f t="shared" si="5"/>
        <v>64.95</v>
      </c>
      <c r="K15" s="623">
        <v>24</v>
      </c>
      <c r="L15" s="628">
        <f t="shared" si="6"/>
        <v>2.88</v>
      </c>
      <c r="M15" s="629">
        <f t="shared" si="7"/>
        <v>1.92</v>
      </c>
      <c r="N15" s="629">
        <f t="shared" si="8"/>
        <v>4.8</v>
      </c>
      <c r="O15" s="623">
        <v>3</v>
      </c>
      <c r="P15" s="628">
        <f t="shared" si="9"/>
        <v>0.45</v>
      </c>
      <c r="Q15" s="629">
        <f t="shared" si="10"/>
        <v>0.3</v>
      </c>
      <c r="R15" s="629">
        <f t="shared" si="11"/>
        <v>0.75</v>
      </c>
      <c r="S15" s="625">
        <f t="shared" si="12"/>
        <v>460</v>
      </c>
      <c r="T15" s="628">
        <f t="shared" si="13"/>
        <v>42.300000000000004</v>
      </c>
      <c r="U15" s="628">
        <f t="shared" si="14"/>
        <v>28.2</v>
      </c>
      <c r="V15" s="628">
        <f t="shared" si="15"/>
        <v>70.5</v>
      </c>
    </row>
    <row r="16" spans="1:24" s="146" customFormat="1" ht="16.5" customHeight="1" x14ac:dyDescent="0.25">
      <c r="A16" s="556">
        <v>5</v>
      </c>
      <c r="B16" s="419" t="s">
        <v>894</v>
      </c>
      <c r="C16" s="623">
        <v>0</v>
      </c>
      <c r="D16" s="625">
        <f t="shared" si="0"/>
        <v>0</v>
      </c>
      <c r="E16" s="626">
        <f t="shared" si="1"/>
        <v>0</v>
      </c>
      <c r="F16" s="626">
        <f t="shared" si="2"/>
        <v>0</v>
      </c>
      <c r="G16" s="627">
        <v>587</v>
      </c>
      <c r="H16" s="628">
        <f t="shared" si="3"/>
        <v>52.83</v>
      </c>
      <c r="I16" s="629">
        <f t="shared" si="4"/>
        <v>35.22</v>
      </c>
      <c r="J16" s="629">
        <f t="shared" si="5"/>
        <v>88.05</v>
      </c>
      <c r="K16" s="623">
        <v>219</v>
      </c>
      <c r="L16" s="628">
        <f t="shared" si="6"/>
        <v>26.28</v>
      </c>
      <c r="M16" s="629">
        <f t="shared" si="7"/>
        <v>17.52</v>
      </c>
      <c r="N16" s="629">
        <f t="shared" si="8"/>
        <v>43.8</v>
      </c>
      <c r="O16" s="623">
        <v>26</v>
      </c>
      <c r="P16" s="628">
        <f t="shared" si="9"/>
        <v>3.9</v>
      </c>
      <c r="Q16" s="629">
        <f t="shared" si="10"/>
        <v>2.6</v>
      </c>
      <c r="R16" s="629">
        <f t="shared" si="11"/>
        <v>6.5</v>
      </c>
      <c r="S16" s="625">
        <f t="shared" si="12"/>
        <v>832</v>
      </c>
      <c r="T16" s="628">
        <f t="shared" si="13"/>
        <v>83.01</v>
      </c>
      <c r="U16" s="628">
        <f t="shared" si="14"/>
        <v>55.339999999999996</v>
      </c>
      <c r="V16" s="628">
        <f t="shared" si="15"/>
        <v>138.35</v>
      </c>
    </row>
    <row r="17" spans="1:22" s="146" customFormat="1" ht="16.5" customHeight="1" x14ac:dyDescent="0.25">
      <c r="A17" s="556">
        <v>6</v>
      </c>
      <c r="B17" s="419" t="s">
        <v>895</v>
      </c>
      <c r="C17" s="623">
        <v>0</v>
      </c>
      <c r="D17" s="625">
        <f t="shared" si="0"/>
        <v>0</v>
      </c>
      <c r="E17" s="626">
        <f t="shared" si="1"/>
        <v>0</v>
      </c>
      <c r="F17" s="626">
        <f t="shared" si="2"/>
        <v>0</v>
      </c>
      <c r="G17" s="627">
        <v>129</v>
      </c>
      <c r="H17" s="628">
        <f t="shared" si="3"/>
        <v>11.61</v>
      </c>
      <c r="I17" s="629">
        <f t="shared" si="4"/>
        <v>7.74</v>
      </c>
      <c r="J17" s="629">
        <f t="shared" si="5"/>
        <v>19.350000000000001</v>
      </c>
      <c r="K17" s="623">
        <v>35</v>
      </c>
      <c r="L17" s="628">
        <f t="shared" si="6"/>
        <v>4.2</v>
      </c>
      <c r="M17" s="629">
        <f t="shared" si="7"/>
        <v>2.8</v>
      </c>
      <c r="N17" s="629">
        <f t="shared" si="8"/>
        <v>7</v>
      </c>
      <c r="O17" s="623">
        <v>16</v>
      </c>
      <c r="P17" s="628">
        <f t="shared" si="9"/>
        <v>2.4</v>
      </c>
      <c r="Q17" s="629">
        <f t="shared" si="10"/>
        <v>1.6</v>
      </c>
      <c r="R17" s="629">
        <f t="shared" si="11"/>
        <v>4</v>
      </c>
      <c r="S17" s="625">
        <f t="shared" si="12"/>
        <v>180</v>
      </c>
      <c r="T17" s="628">
        <f t="shared" si="13"/>
        <v>18.209999999999997</v>
      </c>
      <c r="U17" s="628">
        <f t="shared" si="14"/>
        <v>12.139999999999999</v>
      </c>
      <c r="V17" s="628">
        <f t="shared" si="15"/>
        <v>30.349999999999994</v>
      </c>
    </row>
    <row r="18" spans="1:22" s="146" customFormat="1" ht="16.5" customHeight="1" x14ac:dyDescent="0.25">
      <c r="A18" s="556">
        <v>7</v>
      </c>
      <c r="B18" s="419" t="s">
        <v>896</v>
      </c>
      <c r="C18" s="623">
        <v>0</v>
      </c>
      <c r="D18" s="625">
        <f t="shared" si="0"/>
        <v>0</v>
      </c>
      <c r="E18" s="626">
        <f t="shared" si="1"/>
        <v>0</v>
      </c>
      <c r="F18" s="626">
        <f t="shared" si="2"/>
        <v>0</v>
      </c>
      <c r="G18" s="627">
        <v>950</v>
      </c>
      <c r="H18" s="628">
        <f t="shared" si="3"/>
        <v>85.5</v>
      </c>
      <c r="I18" s="629">
        <f t="shared" si="4"/>
        <v>57</v>
      </c>
      <c r="J18" s="629">
        <f t="shared" si="5"/>
        <v>142.5</v>
      </c>
      <c r="K18" s="623">
        <v>338</v>
      </c>
      <c r="L18" s="628">
        <f t="shared" si="6"/>
        <v>40.56</v>
      </c>
      <c r="M18" s="629">
        <f t="shared" si="7"/>
        <v>27.04</v>
      </c>
      <c r="N18" s="629">
        <f t="shared" si="8"/>
        <v>67.599999999999994</v>
      </c>
      <c r="O18" s="623">
        <v>107</v>
      </c>
      <c r="P18" s="628">
        <f t="shared" si="9"/>
        <v>16.05</v>
      </c>
      <c r="Q18" s="629">
        <f t="shared" si="10"/>
        <v>10.7</v>
      </c>
      <c r="R18" s="629">
        <f t="shared" si="11"/>
        <v>26.75</v>
      </c>
      <c r="S18" s="625">
        <f t="shared" si="12"/>
        <v>1395</v>
      </c>
      <c r="T18" s="628">
        <f t="shared" si="13"/>
        <v>142.11000000000001</v>
      </c>
      <c r="U18" s="628">
        <f t="shared" si="14"/>
        <v>94.74</v>
      </c>
      <c r="V18" s="628">
        <f t="shared" si="15"/>
        <v>236.85000000000002</v>
      </c>
    </row>
    <row r="19" spans="1:22" s="146" customFormat="1" ht="16.5" customHeight="1" x14ac:dyDescent="0.25">
      <c r="A19" s="556">
        <v>8</v>
      </c>
      <c r="B19" s="419" t="s">
        <v>897</v>
      </c>
      <c r="C19" s="623">
        <v>0</v>
      </c>
      <c r="D19" s="625">
        <f t="shared" si="0"/>
        <v>0</v>
      </c>
      <c r="E19" s="626">
        <f t="shared" si="1"/>
        <v>0</v>
      </c>
      <c r="F19" s="626">
        <f t="shared" si="2"/>
        <v>0</v>
      </c>
      <c r="G19" s="627">
        <v>92</v>
      </c>
      <c r="H19" s="628">
        <f t="shared" si="3"/>
        <v>8.2799999999999994</v>
      </c>
      <c r="I19" s="629">
        <f t="shared" si="4"/>
        <v>5.52</v>
      </c>
      <c r="J19" s="629">
        <f t="shared" si="5"/>
        <v>13.799999999999999</v>
      </c>
      <c r="K19" s="623">
        <v>21</v>
      </c>
      <c r="L19" s="628">
        <f t="shared" si="6"/>
        <v>2.52</v>
      </c>
      <c r="M19" s="629">
        <f t="shared" si="7"/>
        <v>1.68</v>
      </c>
      <c r="N19" s="629">
        <f t="shared" si="8"/>
        <v>4.2</v>
      </c>
      <c r="O19" s="623">
        <v>14</v>
      </c>
      <c r="P19" s="628">
        <f t="shared" si="9"/>
        <v>2.1</v>
      </c>
      <c r="Q19" s="629">
        <f t="shared" si="10"/>
        <v>1.4</v>
      </c>
      <c r="R19" s="629">
        <f t="shared" si="11"/>
        <v>3.5</v>
      </c>
      <c r="S19" s="625">
        <f t="shared" si="12"/>
        <v>127</v>
      </c>
      <c r="T19" s="628">
        <f t="shared" si="13"/>
        <v>12.899999999999999</v>
      </c>
      <c r="U19" s="628">
        <f t="shared" si="14"/>
        <v>8.6</v>
      </c>
      <c r="V19" s="628">
        <f t="shared" si="15"/>
        <v>21.5</v>
      </c>
    </row>
    <row r="20" spans="1:22" s="146" customFormat="1" ht="16.5" customHeight="1" x14ac:dyDescent="0.25">
      <c r="A20" s="556">
        <v>9</v>
      </c>
      <c r="B20" s="419" t="s">
        <v>898</v>
      </c>
      <c r="C20" s="623">
        <v>0</v>
      </c>
      <c r="D20" s="625">
        <f t="shared" si="0"/>
        <v>0</v>
      </c>
      <c r="E20" s="626">
        <f t="shared" si="1"/>
        <v>0</v>
      </c>
      <c r="F20" s="626">
        <f t="shared" si="2"/>
        <v>0</v>
      </c>
      <c r="G20" s="627">
        <v>433</v>
      </c>
      <c r="H20" s="628">
        <f t="shared" si="3"/>
        <v>38.97</v>
      </c>
      <c r="I20" s="629">
        <f t="shared" si="4"/>
        <v>25.98</v>
      </c>
      <c r="J20" s="629">
        <f t="shared" si="5"/>
        <v>64.95</v>
      </c>
      <c r="K20" s="623">
        <v>29</v>
      </c>
      <c r="L20" s="628">
        <f t="shared" si="6"/>
        <v>3.48</v>
      </c>
      <c r="M20" s="629">
        <f t="shared" si="7"/>
        <v>2.3199999999999998</v>
      </c>
      <c r="N20" s="629">
        <f t="shared" si="8"/>
        <v>5.8</v>
      </c>
      <c r="O20" s="623">
        <v>0</v>
      </c>
      <c r="P20" s="628">
        <f t="shared" si="9"/>
        <v>0</v>
      </c>
      <c r="Q20" s="629">
        <f t="shared" si="10"/>
        <v>0</v>
      </c>
      <c r="R20" s="629">
        <f t="shared" si="11"/>
        <v>0</v>
      </c>
      <c r="S20" s="625">
        <f t="shared" si="12"/>
        <v>462</v>
      </c>
      <c r="T20" s="628">
        <f t="shared" si="13"/>
        <v>42.449999999999996</v>
      </c>
      <c r="U20" s="628">
        <f t="shared" si="14"/>
        <v>28.3</v>
      </c>
      <c r="V20" s="628">
        <f t="shared" si="15"/>
        <v>70.75</v>
      </c>
    </row>
    <row r="21" spans="1:22" s="146" customFormat="1" ht="16.5" customHeight="1" x14ac:dyDescent="0.25">
      <c r="A21" s="556">
        <v>10</v>
      </c>
      <c r="B21" s="419" t="s">
        <v>899</v>
      </c>
      <c r="C21" s="623">
        <v>0</v>
      </c>
      <c r="D21" s="625">
        <f t="shared" si="0"/>
        <v>0</v>
      </c>
      <c r="E21" s="626">
        <f t="shared" si="1"/>
        <v>0</v>
      </c>
      <c r="F21" s="626">
        <f t="shared" si="2"/>
        <v>0</v>
      </c>
      <c r="G21" s="627">
        <v>487</v>
      </c>
      <c r="H21" s="628">
        <f t="shared" si="3"/>
        <v>43.83</v>
      </c>
      <c r="I21" s="629">
        <f t="shared" si="4"/>
        <v>29.22</v>
      </c>
      <c r="J21" s="629">
        <f t="shared" si="5"/>
        <v>73.05</v>
      </c>
      <c r="K21" s="623">
        <v>160</v>
      </c>
      <c r="L21" s="628">
        <f t="shared" si="6"/>
        <v>19.2</v>
      </c>
      <c r="M21" s="629">
        <f t="shared" si="7"/>
        <v>12.8</v>
      </c>
      <c r="N21" s="629">
        <f t="shared" si="8"/>
        <v>32</v>
      </c>
      <c r="O21" s="623">
        <v>53</v>
      </c>
      <c r="P21" s="628">
        <f t="shared" si="9"/>
        <v>7.95</v>
      </c>
      <c r="Q21" s="629">
        <f t="shared" si="10"/>
        <v>5.3</v>
      </c>
      <c r="R21" s="629">
        <f t="shared" si="11"/>
        <v>13.25</v>
      </c>
      <c r="S21" s="625">
        <f t="shared" si="12"/>
        <v>700</v>
      </c>
      <c r="T21" s="628">
        <f t="shared" si="13"/>
        <v>70.98</v>
      </c>
      <c r="U21" s="628">
        <f t="shared" si="14"/>
        <v>47.319999999999993</v>
      </c>
      <c r="V21" s="628">
        <f t="shared" si="15"/>
        <v>118.3</v>
      </c>
    </row>
    <row r="22" spans="1:22" s="146" customFormat="1" ht="16.5" customHeight="1" x14ac:dyDescent="0.25">
      <c r="A22" s="556">
        <v>11</v>
      </c>
      <c r="B22" s="419" t="s">
        <v>900</v>
      </c>
      <c r="C22" s="623">
        <v>0</v>
      </c>
      <c r="D22" s="625">
        <f t="shared" si="0"/>
        <v>0</v>
      </c>
      <c r="E22" s="626">
        <f t="shared" si="1"/>
        <v>0</v>
      </c>
      <c r="F22" s="626">
        <f t="shared" si="2"/>
        <v>0</v>
      </c>
      <c r="G22" s="627">
        <v>410</v>
      </c>
      <c r="H22" s="628">
        <f t="shared" si="3"/>
        <v>36.9</v>
      </c>
      <c r="I22" s="629">
        <f t="shared" si="4"/>
        <v>24.6</v>
      </c>
      <c r="J22" s="629">
        <f t="shared" si="5"/>
        <v>61.5</v>
      </c>
      <c r="K22" s="623">
        <v>25</v>
      </c>
      <c r="L22" s="628">
        <f t="shared" si="6"/>
        <v>3</v>
      </c>
      <c r="M22" s="629">
        <f t="shared" si="7"/>
        <v>2</v>
      </c>
      <c r="N22" s="629">
        <f t="shared" si="8"/>
        <v>5</v>
      </c>
      <c r="O22" s="623">
        <v>3</v>
      </c>
      <c r="P22" s="628">
        <f t="shared" si="9"/>
        <v>0.45</v>
      </c>
      <c r="Q22" s="629">
        <f t="shared" si="10"/>
        <v>0.3</v>
      </c>
      <c r="R22" s="629">
        <f t="shared" si="11"/>
        <v>0.75</v>
      </c>
      <c r="S22" s="625">
        <f t="shared" si="12"/>
        <v>438</v>
      </c>
      <c r="T22" s="628">
        <f t="shared" si="13"/>
        <v>40.35</v>
      </c>
      <c r="U22" s="628">
        <f t="shared" si="14"/>
        <v>26.900000000000002</v>
      </c>
      <c r="V22" s="628">
        <f t="shared" si="15"/>
        <v>67.25</v>
      </c>
    </row>
    <row r="23" spans="1:22" ht="16.5" customHeight="1" x14ac:dyDescent="0.25">
      <c r="A23" s="556">
        <v>12</v>
      </c>
      <c r="B23" s="419" t="s">
        <v>941</v>
      </c>
      <c r="C23" s="624">
        <v>0</v>
      </c>
      <c r="D23" s="625">
        <f t="shared" si="0"/>
        <v>0</v>
      </c>
      <c r="E23" s="626">
        <f t="shared" si="1"/>
        <v>0</v>
      </c>
      <c r="F23" s="626">
        <f t="shared" si="2"/>
        <v>0</v>
      </c>
      <c r="G23" s="624">
        <v>946</v>
      </c>
      <c r="H23" s="628">
        <f t="shared" si="3"/>
        <v>85.14</v>
      </c>
      <c r="I23" s="629">
        <f t="shared" si="4"/>
        <v>56.76</v>
      </c>
      <c r="J23" s="629">
        <f t="shared" si="5"/>
        <v>141.9</v>
      </c>
      <c r="K23" s="624">
        <v>163</v>
      </c>
      <c r="L23" s="628">
        <f t="shared" si="6"/>
        <v>19.559999999999999</v>
      </c>
      <c r="M23" s="629">
        <f t="shared" si="7"/>
        <v>13.04</v>
      </c>
      <c r="N23" s="629">
        <f t="shared" si="8"/>
        <v>32.599999999999994</v>
      </c>
      <c r="O23" s="624">
        <v>16</v>
      </c>
      <c r="P23" s="628">
        <f t="shared" si="9"/>
        <v>2.4</v>
      </c>
      <c r="Q23" s="629">
        <f t="shared" si="10"/>
        <v>1.6</v>
      </c>
      <c r="R23" s="629">
        <f t="shared" si="11"/>
        <v>4</v>
      </c>
      <c r="S23" s="625">
        <f t="shared" si="12"/>
        <v>1125</v>
      </c>
      <c r="T23" s="628">
        <f t="shared" si="13"/>
        <v>107.10000000000001</v>
      </c>
      <c r="U23" s="628">
        <f t="shared" si="14"/>
        <v>71.399999999999991</v>
      </c>
      <c r="V23" s="628">
        <f t="shared" si="15"/>
        <v>178.5</v>
      </c>
    </row>
    <row r="24" spans="1:22" ht="16.5" customHeight="1" x14ac:dyDescent="0.25">
      <c r="A24" s="556">
        <v>13</v>
      </c>
      <c r="B24" s="419" t="s">
        <v>902</v>
      </c>
      <c r="C24" s="624">
        <v>0</v>
      </c>
      <c r="D24" s="625">
        <f t="shared" si="0"/>
        <v>0</v>
      </c>
      <c r="E24" s="626">
        <f t="shared" si="1"/>
        <v>0</v>
      </c>
      <c r="F24" s="626">
        <f t="shared" si="2"/>
        <v>0</v>
      </c>
      <c r="G24" s="624">
        <v>342</v>
      </c>
      <c r="H24" s="628">
        <f t="shared" si="3"/>
        <v>30.78</v>
      </c>
      <c r="I24" s="629">
        <f t="shared" si="4"/>
        <v>20.52</v>
      </c>
      <c r="J24" s="629">
        <f t="shared" si="5"/>
        <v>51.3</v>
      </c>
      <c r="K24" s="624">
        <v>52</v>
      </c>
      <c r="L24" s="628">
        <f t="shared" si="6"/>
        <v>6.24</v>
      </c>
      <c r="M24" s="629">
        <f t="shared" si="7"/>
        <v>4.16</v>
      </c>
      <c r="N24" s="629">
        <f t="shared" si="8"/>
        <v>10.4</v>
      </c>
      <c r="O24" s="624">
        <v>15</v>
      </c>
      <c r="P24" s="628">
        <f t="shared" si="9"/>
        <v>2.25</v>
      </c>
      <c r="Q24" s="629">
        <f t="shared" si="10"/>
        <v>1.5</v>
      </c>
      <c r="R24" s="629">
        <f t="shared" si="11"/>
        <v>3.75</v>
      </c>
      <c r="S24" s="625">
        <f t="shared" si="12"/>
        <v>409</v>
      </c>
      <c r="T24" s="628">
        <f t="shared" si="13"/>
        <v>39.270000000000003</v>
      </c>
      <c r="U24" s="628">
        <f t="shared" si="14"/>
        <v>26.18</v>
      </c>
      <c r="V24" s="628">
        <f t="shared" si="15"/>
        <v>65.45</v>
      </c>
    </row>
    <row r="25" spans="1:22" ht="16.5" customHeight="1" x14ac:dyDescent="0.25">
      <c r="A25" s="556">
        <v>14</v>
      </c>
      <c r="B25" s="419" t="s">
        <v>903</v>
      </c>
      <c r="C25" s="624">
        <v>0</v>
      </c>
      <c r="D25" s="625">
        <f t="shared" si="0"/>
        <v>0</v>
      </c>
      <c r="E25" s="626">
        <f t="shared" si="1"/>
        <v>0</v>
      </c>
      <c r="F25" s="626">
        <f t="shared" si="2"/>
        <v>0</v>
      </c>
      <c r="G25" s="624">
        <v>232</v>
      </c>
      <c r="H25" s="628">
        <f t="shared" si="3"/>
        <v>20.88</v>
      </c>
      <c r="I25" s="629">
        <f t="shared" si="4"/>
        <v>13.92</v>
      </c>
      <c r="J25" s="629">
        <f t="shared" si="5"/>
        <v>34.799999999999997</v>
      </c>
      <c r="K25" s="624">
        <v>12</v>
      </c>
      <c r="L25" s="628">
        <f t="shared" si="6"/>
        <v>1.44</v>
      </c>
      <c r="M25" s="629">
        <f t="shared" si="7"/>
        <v>0.96</v>
      </c>
      <c r="N25" s="629">
        <f t="shared" si="8"/>
        <v>2.4</v>
      </c>
      <c r="O25" s="624">
        <v>0</v>
      </c>
      <c r="P25" s="628">
        <f t="shared" si="9"/>
        <v>0</v>
      </c>
      <c r="Q25" s="629">
        <f t="shared" si="10"/>
        <v>0</v>
      </c>
      <c r="R25" s="629">
        <f t="shared" si="11"/>
        <v>0</v>
      </c>
      <c r="S25" s="625">
        <f t="shared" si="12"/>
        <v>244</v>
      </c>
      <c r="T25" s="628">
        <f t="shared" si="13"/>
        <v>22.32</v>
      </c>
      <c r="U25" s="628">
        <f t="shared" si="14"/>
        <v>14.879999999999999</v>
      </c>
      <c r="V25" s="628">
        <f t="shared" si="15"/>
        <v>37.200000000000003</v>
      </c>
    </row>
    <row r="26" spans="1:22" ht="16.5" customHeight="1" x14ac:dyDescent="0.25">
      <c r="A26" s="556">
        <v>15</v>
      </c>
      <c r="B26" s="419" t="s">
        <v>904</v>
      </c>
      <c r="C26" s="624">
        <v>0</v>
      </c>
      <c r="D26" s="625">
        <f t="shared" si="0"/>
        <v>0</v>
      </c>
      <c r="E26" s="626">
        <f t="shared" si="1"/>
        <v>0</v>
      </c>
      <c r="F26" s="626">
        <f t="shared" si="2"/>
        <v>0</v>
      </c>
      <c r="G26" s="624">
        <v>670</v>
      </c>
      <c r="H26" s="628">
        <f t="shared" si="3"/>
        <v>60.3</v>
      </c>
      <c r="I26" s="629">
        <f t="shared" si="4"/>
        <v>40.200000000000003</v>
      </c>
      <c r="J26" s="629">
        <f t="shared" si="5"/>
        <v>100.5</v>
      </c>
      <c r="K26" s="624">
        <v>106</v>
      </c>
      <c r="L26" s="628">
        <f t="shared" si="6"/>
        <v>12.72</v>
      </c>
      <c r="M26" s="629">
        <f t="shared" si="7"/>
        <v>8.48</v>
      </c>
      <c r="N26" s="629">
        <f t="shared" si="8"/>
        <v>21.200000000000003</v>
      </c>
      <c r="O26" s="624">
        <v>18</v>
      </c>
      <c r="P26" s="628">
        <f t="shared" si="9"/>
        <v>2.7</v>
      </c>
      <c r="Q26" s="629">
        <f t="shared" si="10"/>
        <v>1.8</v>
      </c>
      <c r="R26" s="629">
        <f t="shared" si="11"/>
        <v>4.5</v>
      </c>
      <c r="S26" s="625">
        <f t="shared" si="12"/>
        <v>794</v>
      </c>
      <c r="T26" s="628">
        <f t="shared" si="13"/>
        <v>75.72</v>
      </c>
      <c r="U26" s="628">
        <f t="shared" si="14"/>
        <v>50.480000000000004</v>
      </c>
      <c r="V26" s="628">
        <f t="shared" si="15"/>
        <v>126.2</v>
      </c>
    </row>
    <row r="27" spans="1:22" ht="16.5" customHeight="1" x14ac:dyDescent="0.25">
      <c r="A27" s="556">
        <v>16</v>
      </c>
      <c r="B27" s="419" t="s">
        <v>905</v>
      </c>
      <c r="C27" s="624">
        <v>0</v>
      </c>
      <c r="D27" s="625">
        <f t="shared" si="0"/>
        <v>0</v>
      </c>
      <c r="E27" s="626">
        <f t="shared" si="1"/>
        <v>0</v>
      </c>
      <c r="F27" s="626">
        <f t="shared" si="2"/>
        <v>0</v>
      </c>
      <c r="G27" s="624">
        <v>318</v>
      </c>
      <c r="H27" s="628">
        <f t="shared" si="3"/>
        <v>28.62</v>
      </c>
      <c r="I27" s="629">
        <f t="shared" si="4"/>
        <v>19.079999999999998</v>
      </c>
      <c r="J27" s="629">
        <f t="shared" si="5"/>
        <v>47.7</v>
      </c>
      <c r="K27" s="624">
        <v>6</v>
      </c>
      <c r="L27" s="628">
        <f t="shared" si="6"/>
        <v>0.72</v>
      </c>
      <c r="M27" s="629">
        <f t="shared" si="7"/>
        <v>0.48</v>
      </c>
      <c r="N27" s="629">
        <f t="shared" si="8"/>
        <v>1.2</v>
      </c>
      <c r="O27" s="624">
        <v>1</v>
      </c>
      <c r="P27" s="628">
        <f t="shared" si="9"/>
        <v>0.15</v>
      </c>
      <c r="Q27" s="629">
        <f t="shared" si="10"/>
        <v>0.1</v>
      </c>
      <c r="R27" s="629">
        <f t="shared" si="11"/>
        <v>0.25</v>
      </c>
      <c r="S27" s="625">
        <f t="shared" si="12"/>
        <v>325</v>
      </c>
      <c r="T27" s="628">
        <f t="shared" si="13"/>
        <v>29.49</v>
      </c>
      <c r="U27" s="628">
        <f t="shared" si="14"/>
        <v>19.66</v>
      </c>
      <c r="V27" s="628">
        <f t="shared" si="15"/>
        <v>49.15</v>
      </c>
    </row>
    <row r="28" spans="1:22" ht="16.5" customHeight="1" x14ac:dyDescent="0.25">
      <c r="A28" s="556">
        <v>17</v>
      </c>
      <c r="B28" s="419" t="s">
        <v>906</v>
      </c>
      <c r="C28" s="624">
        <v>0</v>
      </c>
      <c r="D28" s="625">
        <f t="shared" si="0"/>
        <v>0</v>
      </c>
      <c r="E28" s="626">
        <f t="shared" si="1"/>
        <v>0</v>
      </c>
      <c r="F28" s="626">
        <f t="shared" si="2"/>
        <v>0</v>
      </c>
      <c r="G28" s="624">
        <v>585</v>
      </c>
      <c r="H28" s="628">
        <f t="shared" si="3"/>
        <v>52.65</v>
      </c>
      <c r="I28" s="629">
        <f t="shared" si="4"/>
        <v>35.1</v>
      </c>
      <c r="J28" s="629">
        <f t="shared" si="5"/>
        <v>87.75</v>
      </c>
      <c r="K28" s="624">
        <v>69</v>
      </c>
      <c r="L28" s="628">
        <f t="shared" si="6"/>
        <v>8.2799999999999994</v>
      </c>
      <c r="M28" s="629">
        <f t="shared" si="7"/>
        <v>5.52</v>
      </c>
      <c r="N28" s="629">
        <f t="shared" si="8"/>
        <v>13.799999999999999</v>
      </c>
      <c r="O28" s="624">
        <v>9</v>
      </c>
      <c r="P28" s="628">
        <f t="shared" si="9"/>
        <v>1.35</v>
      </c>
      <c r="Q28" s="629">
        <f t="shared" si="10"/>
        <v>0.9</v>
      </c>
      <c r="R28" s="629">
        <f t="shared" si="11"/>
        <v>2.25</v>
      </c>
      <c r="S28" s="625">
        <f t="shared" si="12"/>
        <v>663</v>
      </c>
      <c r="T28" s="628">
        <f t="shared" si="13"/>
        <v>62.28</v>
      </c>
      <c r="U28" s="628">
        <f t="shared" si="14"/>
        <v>41.52</v>
      </c>
      <c r="V28" s="628">
        <f t="shared" si="15"/>
        <v>103.80000000000001</v>
      </c>
    </row>
    <row r="29" spans="1:22" ht="16.5" customHeight="1" x14ac:dyDescent="0.25">
      <c r="A29" s="556">
        <v>18</v>
      </c>
      <c r="B29" s="419" t="s">
        <v>907</v>
      </c>
      <c r="C29" s="624">
        <v>0</v>
      </c>
      <c r="D29" s="625">
        <f t="shared" si="0"/>
        <v>0</v>
      </c>
      <c r="E29" s="626">
        <f t="shared" si="1"/>
        <v>0</v>
      </c>
      <c r="F29" s="626">
        <f t="shared" si="2"/>
        <v>0</v>
      </c>
      <c r="G29" s="624">
        <v>297</v>
      </c>
      <c r="H29" s="628">
        <f t="shared" si="3"/>
        <v>26.73</v>
      </c>
      <c r="I29" s="629">
        <f t="shared" si="4"/>
        <v>17.82</v>
      </c>
      <c r="J29" s="629">
        <f t="shared" si="5"/>
        <v>44.55</v>
      </c>
      <c r="K29" s="624">
        <v>13</v>
      </c>
      <c r="L29" s="628">
        <f t="shared" si="6"/>
        <v>1.56</v>
      </c>
      <c r="M29" s="629">
        <f t="shared" si="7"/>
        <v>1.04</v>
      </c>
      <c r="N29" s="629">
        <f t="shared" si="8"/>
        <v>2.6</v>
      </c>
      <c r="O29" s="624">
        <v>1</v>
      </c>
      <c r="P29" s="628">
        <f t="shared" si="9"/>
        <v>0.15</v>
      </c>
      <c r="Q29" s="629">
        <f t="shared" si="10"/>
        <v>0.1</v>
      </c>
      <c r="R29" s="629">
        <f t="shared" si="11"/>
        <v>0.25</v>
      </c>
      <c r="S29" s="625">
        <f t="shared" si="12"/>
        <v>311</v>
      </c>
      <c r="T29" s="628">
        <f t="shared" si="13"/>
        <v>28.439999999999998</v>
      </c>
      <c r="U29" s="628">
        <f t="shared" si="14"/>
        <v>18.96</v>
      </c>
      <c r="V29" s="628">
        <f t="shared" si="15"/>
        <v>47.4</v>
      </c>
    </row>
    <row r="30" spans="1:22" ht="16.5" customHeight="1" x14ac:dyDescent="0.25">
      <c r="A30" s="556">
        <v>19</v>
      </c>
      <c r="B30" s="419" t="s">
        <v>908</v>
      </c>
      <c r="C30" s="624">
        <v>0</v>
      </c>
      <c r="D30" s="625">
        <f t="shared" si="0"/>
        <v>0</v>
      </c>
      <c r="E30" s="626">
        <f t="shared" si="1"/>
        <v>0</v>
      </c>
      <c r="F30" s="626">
        <f t="shared" si="2"/>
        <v>0</v>
      </c>
      <c r="G30" s="624">
        <v>652</v>
      </c>
      <c r="H30" s="628">
        <f t="shared" si="3"/>
        <v>58.68</v>
      </c>
      <c r="I30" s="629">
        <f t="shared" si="4"/>
        <v>39.119999999999997</v>
      </c>
      <c r="J30" s="629">
        <f t="shared" si="5"/>
        <v>97.8</v>
      </c>
      <c r="K30" s="624">
        <v>127</v>
      </c>
      <c r="L30" s="628">
        <f t="shared" si="6"/>
        <v>15.24</v>
      </c>
      <c r="M30" s="629">
        <f t="shared" si="7"/>
        <v>10.16</v>
      </c>
      <c r="N30" s="629">
        <f t="shared" si="8"/>
        <v>25.4</v>
      </c>
      <c r="O30" s="624">
        <v>7</v>
      </c>
      <c r="P30" s="628">
        <f t="shared" si="9"/>
        <v>1.05</v>
      </c>
      <c r="Q30" s="629">
        <f t="shared" si="10"/>
        <v>0.7</v>
      </c>
      <c r="R30" s="629">
        <f t="shared" si="11"/>
        <v>1.75</v>
      </c>
      <c r="S30" s="625">
        <f t="shared" si="12"/>
        <v>786</v>
      </c>
      <c r="T30" s="628">
        <f t="shared" si="13"/>
        <v>74.97</v>
      </c>
      <c r="U30" s="628">
        <f t="shared" si="14"/>
        <v>49.980000000000004</v>
      </c>
      <c r="V30" s="628">
        <f t="shared" si="15"/>
        <v>124.95</v>
      </c>
    </row>
    <row r="31" spans="1:22" ht="16.5" customHeight="1" x14ac:dyDescent="0.25">
      <c r="A31" s="556">
        <v>20</v>
      </c>
      <c r="B31" s="419" t="s">
        <v>909</v>
      </c>
      <c r="C31" s="624">
        <v>0</v>
      </c>
      <c r="D31" s="625">
        <f t="shared" si="0"/>
        <v>0</v>
      </c>
      <c r="E31" s="626">
        <f t="shared" si="1"/>
        <v>0</v>
      </c>
      <c r="F31" s="626">
        <f t="shared" si="2"/>
        <v>0</v>
      </c>
      <c r="G31" s="624">
        <v>517</v>
      </c>
      <c r="H31" s="628">
        <f t="shared" si="3"/>
        <v>46.53</v>
      </c>
      <c r="I31" s="629">
        <f t="shared" si="4"/>
        <v>31.02</v>
      </c>
      <c r="J31" s="629">
        <f t="shared" si="5"/>
        <v>77.55</v>
      </c>
      <c r="K31" s="624">
        <v>171</v>
      </c>
      <c r="L31" s="628">
        <f t="shared" si="6"/>
        <v>20.52</v>
      </c>
      <c r="M31" s="629">
        <f t="shared" si="7"/>
        <v>13.68</v>
      </c>
      <c r="N31" s="629">
        <f t="shared" si="8"/>
        <v>34.200000000000003</v>
      </c>
      <c r="O31" s="624">
        <v>27</v>
      </c>
      <c r="P31" s="628">
        <f t="shared" si="9"/>
        <v>4.05</v>
      </c>
      <c r="Q31" s="629">
        <f t="shared" si="10"/>
        <v>2.7</v>
      </c>
      <c r="R31" s="629">
        <f t="shared" si="11"/>
        <v>6.75</v>
      </c>
      <c r="S31" s="625">
        <f t="shared" si="12"/>
        <v>715</v>
      </c>
      <c r="T31" s="628">
        <f t="shared" si="13"/>
        <v>71.099999999999994</v>
      </c>
      <c r="U31" s="628">
        <f t="shared" si="14"/>
        <v>47.400000000000006</v>
      </c>
      <c r="V31" s="628">
        <f t="shared" si="15"/>
        <v>118.5</v>
      </c>
    </row>
    <row r="32" spans="1:22" ht="16.5" customHeight="1" x14ac:dyDescent="0.25">
      <c r="A32" s="556">
        <v>21</v>
      </c>
      <c r="B32" s="419" t="s">
        <v>910</v>
      </c>
      <c r="C32" s="624">
        <v>0</v>
      </c>
      <c r="D32" s="625">
        <f t="shared" si="0"/>
        <v>0</v>
      </c>
      <c r="E32" s="626">
        <f t="shared" si="1"/>
        <v>0</v>
      </c>
      <c r="F32" s="626">
        <f t="shared" si="2"/>
        <v>0</v>
      </c>
      <c r="G32" s="624">
        <v>57</v>
      </c>
      <c r="H32" s="628">
        <f t="shared" si="3"/>
        <v>5.13</v>
      </c>
      <c r="I32" s="629">
        <f t="shared" si="4"/>
        <v>3.42</v>
      </c>
      <c r="J32" s="629">
        <f t="shared" si="5"/>
        <v>8.5500000000000007</v>
      </c>
      <c r="K32" s="624">
        <v>13</v>
      </c>
      <c r="L32" s="628">
        <f t="shared" si="6"/>
        <v>1.56</v>
      </c>
      <c r="M32" s="629">
        <f t="shared" si="7"/>
        <v>1.04</v>
      </c>
      <c r="N32" s="629">
        <f t="shared" si="8"/>
        <v>2.6</v>
      </c>
      <c r="O32" s="624">
        <v>4</v>
      </c>
      <c r="P32" s="628">
        <f t="shared" si="9"/>
        <v>0.6</v>
      </c>
      <c r="Q32" s="629">
        <f t="shared" si="10"/>
        <v>0.4</v>
      </c>
      <c r="R32" s="629">
        <f t="shared" si="11"/>
        <v>1</v>
      </c>
      <c r="S32" s="625">
        <f t="shared" si="12"/>
        <v>74</v>
      </c>
      <c r="T32" s="628">
        <f t="shared" si="13"/>
        <v>7.2899999999999991</v>
      </c>
      <c r="U32" s="628">
        <f t="shared" si="14"/>
        <v>4.8600000000000003</v>
      </c>
      <c r="V32" s="628">
        <f t="shared" si="15"/>
        <v>12.149999999999999</v>
      </c>
    </row>
    <row r="33" spans="1:48" ht="16.5" customHeight="1" x14ac:dyDescent="0.25">
      <c r="A33" s="556">
        <v>22</v>
      </c>
      <c r="B33" s="419" t="s">
        <v>911</v>
      </c>
      <c r="C33" s="624">
        <v>0</v>
      </c>
      <c r="D33" s="625">
        <f t="shared" si="0"/>
        <v>0</v>
      </c>
      <c r="E33" s="626">
        <f t="shared" si="1"/>
        <v>0</v>
      </c>
      <c r="F33" s="626">
        <f t="shared" si="2"/>
        <v>0</v>
      </c>
      <c r="G33" s="624">
        <v>569</v>
      </c>
      <c r="H33" s="628">
        <f t="shared" si="3"/>
        <v>51.21</v>
      </c>
      <c r="I33" s="629">
        <f t="shared" si="4"/>
        <v>34.14</v>
      </c>
      <c r="J33" s="629">
        <f t="shared" si="5"/>
        <v>85.35</v>
      </c>
      <c r="K33" s="624">
        <v>45</v>
      </c>
      <c r="L33" s="628">
        <f t="shared" si="6"/>
        <v>5.4</v>
      </c>
      <c r="M33" s="629">
        <f t="shared" si="7"/>
        <v>3.6</v>
      </c>
      <c r="N33" s="629">
        <f t="shared" si="8"/>
        <v>9</v>
      </c>
      <c r="O33" s="624">
        <v>7</v>
      </c>
      <c r="P33" s="628">
        <f t="shared" si="9"/>
        <v>1.05</v>
      </c>
      <c r="Q33" s="629">
        <f t="shared" si="10"/>
        <v>0.7</v>
      </c>
      <c r="R33" s="629">
        <f t="shared" si="11"/>
        <v>1.75</v>
      </c>
      <c r="S33" s="625">
        <f t="shared" si="12"/>
        <v>621</v>
      </c>
      <c r="T33" s="628">
        <f t="shared" si="13"/>
        <v>57.66</v>
      </c>
      <c r="U33" s="628">
        <f t="shared" si="14"/>
        <v>38.440000000000005</v>
      </c>
      <c r="V33" s="628">
        <f t="shared" si="15"/>
        <v>96.1</v>
      </c>
    </row>
    <row r="34" spans="1:48" ht="16.5" customHeight="1" x14ac:dyDescent="0.25">
      <c r="A34" s="556">
        <v>23</v>
      </c>
      <c r="B34" s="419" t="s">
        <v>912</v>
      </c>
      <c r="C34" s="624">
        <v>0</v>
      </c>
      <c r="D34" s="625">
        <f t="shared" si="0"/>
        <v>0</v>
      </c>
      <c r="E34" s="626">
        <f t="shared" si="1"/>
        <v>0</v>
      </c>
      <c r="F34" s="626">
        <f t="shared" si="2"/>
        <v>0</v>
      </c>
      <c r="G34" s="624">
        <v>616</v>
      </c>
      <c r="H34" s="628">
        <f t="shared" si="3"/>
        <v>55.44</v>
      </c>
      <c r="I34" s="629">
        <f t="shared" si="4"/>
        <v>36.96</v>
      </c>
      <c r="J34" s="629">
        <f t="shared" si="5"/>
        <v>92.4</v>
      </c>
      <c r="K34" s="624">
        <v>318</v>
      </c>
      <c r="L34" s="628">
        <f t="shared" si="6"/>
        <v>38.159999999999997</v>
      </c>
      <c r="M34" s="629">
        <f t="shared" si="7"/>
        <v>25.44</v>
      </c>
      <c r="N34" s="629">
        <f t="shared" si="8"/>
        <v>63.599999999999994</v>
      </c>
      <c r="O34" s="624">
        <v>94</v>
      </c>
      <c r="P34" s="628">
        <f t="shared" si="9"/>
        <v>14.1</v>
      </c>
      <c r="Q34" s="629">
        <f t="shared" si="10"/>
        <v>9.4</v>
      </c>
      <c r="R34" s="629">
        <f t="shared" si="11"/>
        <v>23.5</v>
      </c>
      <c r="S34" s="625">
        <f t="shared" si="12"/>
        <v>1028</v>
      </c>
      <c r="T34" s="628">
        <f t="shared" si="13"/>
        <v>107.69999999999999</v>
      </c>
      <c r="U34" s="628">
        <f t="shared" si="14"/>
        <v>71.800000000000011</v>
      </c>
      <c r="V34" s="628">
        <f t="shared" si="15"/>
        <v>179.5</v>
      </c>
    </row>
    <row r="35" spans="1:48" ht="16.5" customHeight="1" x14ac:dyDescent="0.25">
      <c r="A35" s="556">
        <v>24</v>
      </c>
      <c r="B35" s="419" t="s">
        <v>913</v>
      </c>
      <c r="C35" s="624">
        <v>0</v>
      </c>
      <c r="D35" s="625">
        <f t="shared" si="0"/>
        <v>0</v>
      </c>
      <c r="E35" s="626">
        <f t="shared" si="1"/>
        <v>0</v>
      </c>
      <c r="F35" s="626">
        <f t="shared" si="2"/>
        <v>0</v>
      </c>
      <c r="G35" s="624">
        <v>991</v>
      </c>
      <c r="H35" s="628">
        <f t="shared" si="3"/>
        <v>89.19</v>
      </c>
      <c r="I35" s="629">
        <f t="shared" si="4"/>
        <v>59.46</v>
      </c>
      <c r="J35" s="629">
        <f t="shared" si="5"/>
        <v>148.65</v>
      </c>
      <c r="K35" s="624">
        <v>159</v>
      </c>
      <c r="L35" s="628">
        <f t="shared" si="6"/>
        <v>19.079999999999998</v>
      </c>
      <c r="M35" s="629">
        <f t="shared" si="7"/>
        <v>12.72</v>
      </c>
      <c r="N35" s="629">
        <f t="shared" si="8"/>
        <v>31.799999999999997</v>
      </c>
      <c r="O35" s="624">
        <v>5</v>
      </c>
      <c r="P35" s="628">
        <f t="shared" si="9"/>
        <v>0.75</v>
      </c>
      <c r="Q35" s="629">
        <f t="shared" si="10"/>
        <v>0.5</v>
      </c>
      <c r="R35" s="629">
        <f t="shared" si="11"/>
        <v>1.25</v>
      </c>
      <c r="S35" s="625">
        <f t="shared" si="12"/>
        <v>1155</v>
      </c>
      <c r="T35" s="628">
        <f t="shared" si="13"/>
        <v>109.02</v>
      </c>
      <c r="U35" s="628">
        <f t="shared" si="14"/>
        <v>72.680000000000007</v>
      </c>
      <c r="V35" s="628">
        <f t="shared" si="15"/>
        <v>181.7</v>
      </c>
    </row>
    <row r="36" spans="1:48" ht="16.5" customHeight="1" x14ac:dyDescent="0.25">
      <c r="A36" s="556">
        <v>25</v>
      </c>
      <c r="B36" s="419" t="s">
        <v>919</v>
      </c>
      <c r="C36" s="624">
        <v>0</v>
      </c>
      <c r="D36" s="625">
        <f t="shared" si="0"/>
        <v>0</v>
      </c>
      <c r="E36" s="626">
        <f t="shared" si="1"/>
        <v>0</v>
      </c>
      <c r="F36" s="626">
        <f t="shared" si="2"/>
        <v>0</v>
      </c>
      <c r="G36" s="624">
        <v>333</v>
      </c>
      <c r="H36" s="628">
        <f t="shared" si="3"/>
        <v>29.97</v>
      </c>
      <c r="I36" s="629">
        <f t="shared" si="4"/>
        <v>19.98</v>
      </c>
      <c r="J36" s="629">
        <f t="shared" si="5"/>
        <v>49.95</v>
      </c>
      <c r="K36" s="624">
        <v>19</v>
      </c>
      <c r="L36" s="628">
        <f t="shared" si="6"/>
        <v>2.2799999999999998</v>
      </c>
      <c r="M36" s="629">
        <f t="shared" si="7"/>
        <v>1.52</v>
      </c>
      <c r="N36" s="629">
        <f t="shared" si="8"/>
        <v>3.8</v>
      </c>
      <c r="O36" s="624">
        <v>11</v>
      </c>
      <c r="P36" s="628">
        <f t="shared" si="9"/>
        <v>1.65</v>
      </c>
      <c r="Q36" s="629">
        <f t="shared" si="10"/>
        <v>1.1000000000000001</v>
      </c>
      <c r="R36" s="629">
        <f t="shared" si="11"/>
        <v>2.75</v>
      </c>
      <c r="S36" s="625">
        <f t="shared" si="12"/>
        <v>363</v>
      </c>
      <c r="T36" s="628">
        <f t="shared" si="13"/>
        <v>33.9</v>
      </c>
      <c r="U36" s="628">
        <f t="shared" si="14"/>
        <v>22.6</v>
      </c>
      <c r="V36" s="628">
        <f t="shared" si="15"/>
        <v>56.5</v>
      </c>
    </row>
    <row r="37" spans="1:48" s="83" customFormat="1" ht="16.5" customHeight="1" x14ac:dyDescent="0.25">
      <c r="A37" s="556">
        <v>26</v>
      </c>
      <c r="B37" s="419" t="s">
        <v>914</v>
      </c>
      <c r="C37" s="624">
        <v>0</v>
      </c>
      <c r="D37" s="625">
        <f t="shared" si="0"/>
        <v>0</v>
      </c>
      <c r="E37" s="626">
        <f t="shared" si="1"/>
        <v>0</v>
      </c>
      <c r="F37" s="626">
        <f t="shared" si="2"/>
        <v>0</v>
      </c>
      <c r="G37" s="624">
        <v>123</v>
      </c>
      <c r="H37" s="628">
        <f t="shared" si="3"/>
        <v>11.07</v>
      </c>
      <c r="I37" s="629">
        <f t="shared" si="4"/>
        <v>7.38</v>
      </c>
      <c r="J37" s="629">
        <f t="shared" si="5"/>
        <v>18.45</v>
      </c>
      <c r="K37" s="624">
        <v>13</v>
      </c>
      <c r="L37" s="628">
        <f t="shared" si="6"/>
        <v>1.56</v>
      </c>
      <c r="M37" s="629">
        <f t="shared" si="7"/>
        <v>1.04</v>
      </c>
      <c r="N37" s="629">
        <f t="shared" si="8"/>
        <v>2.6</v>
      </c>
      <c r="O37" s="624">
        <v>10</v>
      </c>
      <c r="P37" s="628">
        <f t="shared" si="9"/>
        <v>1.5</v>
      </c>
      <c r="Q37" s="629">
        <f t="shared" si="10"/>
        <v>1</v>
      </c>
      <c r="R37" s="629">
        <f t="shared" si="11"/>
        <v>2.5</v>
      </c>
      <c r="S37" s="625">
        <f t="shared" si="12"/>
        <v>146</v>
      </c>
      <c r="T37" s="628">
        <f t="shared" si="13"/>
        <v>14.13</v>
      </c>
      <c r="U37" s="628">
        <f t="shared" si="14"/>
        <v>9.42</v>
      </c>
      <c r="V37" s="628">
        <f t="shared" si="15"/>
        <v>23.55</v>
      </c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pans="1:48" ht="16.5" customHeight="1" x14ac:dyDescent="0.25">
      <c r="A38" s="556">
        <v>27</v>
      </c>
      <c r="B38" s="419" t="s">
        <v>915</v>
      </c>
      <c r="C38" s="624">
        <v>0</v>
      </c>
      <c r="D38" s="625">
        <f t="shared" si="0"/>
        <v>0</v>
      </c>
      <c r="E38" s="626">
        <f t="shared" si="1"/>
        <v>0</v>
      </c>
      <c r="F38" s="626">
        <f t="shared" si="2"/>
        <v>0</v>
      </c>
      <c r="G38" s="624">
        <v>412</v>
      </c>
      <c r="H38" s="628">
        <f t="shared" si="3"/>
        <v>37.08</v>
      </c>
      <c r="I38" s="629">
        <f t="shared" si="4"/>
        <v>24.72</v>
      </c>
      <c r="J38" s="629">
        <f t="shared" si="5"/>
        <v>61.8</v>
      </c>
      <c r="K38" s="624">
        <v>24</v>
      </c>
      <c r="L38" s="628">
        <f t="shared" si="6"/>
        <v>2.88</v>
      </c>
      <c r="M38" s="629">
        <f t="shared" si="7"/>
        <v>1.92</v>
      </c>
      <c r="N38" s="629">
        <f t="shared" si="8"/>
        <v>4.8</v>
      </c>
      <c r="O38" s="624">
        <v>0</v>
      </c>
      <c r="P38" s="628">
        <f t="shared" si="9"/>
        <v>0</v>
      </c>
      <c r="Q38" s="629">
        <f t="shared" si="10"/>
        <v>0</v>
      </c>
      <c r="R38" s="629">
        <f t="shared" si="11"/>
        <v>0</v>
      </c>
      <c r="S38" s="625">
        <f t="shared" si="12"/>
        <v>436</v>
      </c>
      <c r="T38" s="628">
        <f t="shared" si="13"/>
        <v>39.96</v>
      </c>
      <c r="U38" s="628">
        <f t="shared" si="14"/>
        <v>26.64</v>
      </c>
      <c r="V38" s="628">
        <f t="shared" si="15"/>
        <v>66.599999999999994</v>
      </c>
    </row>
    <row r="39" spans="1:48" x14ac:dyDescent="0.25">
      <c r="A39" s="272" t="s">
        <v>18</v>
      </c>
      <c r="B39" s="83"/>
      <c r="C39" s="83">
        <f>SUM(C12:C38)</f>
        <v>0</v>
      </c>
      <c r="D39" s="83">
        <f>SUM(D12:D38)</f>
        <v>0</v>
      </c>
      <c r="E39" s="83">
        <f>SUM(E12:E38)</f>
        <v>0</v>
      </c>
      <c r="F39" s="83">
        <f>SUM(F12:F38)</f>
        <v>0</v>
      </c>
      <c r="G39" s="83">
        <f>SUM(G12:G38)</f>
        <v>12959</v>
      </c>
      <c r="H39" s="83">
        <f t="shared" ref="H39:S39" si="16">SUM(H12:H38)</f>
        <v>1166.3099999999997</v>
      </c>
      <c r="I39" s="83">
        <f t="shared" si="16"/>
        <v>777.54000000000008</v>
      </c>
      <c r="J39" s="83">
        <f t="shared" si="16"/>
        <v>1943.85</v>
      </c>
      <c r="K39" s="83">
        <f t="shared" si="16"/>
        <v>2537</v>
      </c>
      <c r="L39" s="630">
        <f t="shared" si="16"/>
        <v>304.44</v>
      </c>
      <c r="M39" s="630">
        <f t="shared" si="16"/>
        <v>202.95999999999995</v>
      </c>
      <c r="N39" s="630">
        <f t="shared" si="16"/>
        <v>507.40000000000003</v>
      </c>
      <c r="O39" s="83">
        <f t="shared" si="16"/>
        <v>530</v>
      </c>
      <c r="P39" s="630">
        <f t="shared" si="16"/>
        <v>79.5</v>
      </c>
      <c r="Q39" s="630">
        <f t="shared" si="16"/>
        <v>53.000000000000007</v>
      </c>
      <c r="R39" s="630">
        <f t="shared" si="16"/>
        <v>132.5</v>
      </c>
      <c r="S39" s="83">
        <f t="shared" si="16"/>
        <v>16026</v>
      </c>
      <c r="T39" s="630">
        <f>SUM(T12:T38)</f>
        <v>1550.2500000000005</v>
      </c>
      <c r="U39" s="630">
        <f>SUM(U12:U38)</f>
        <v>1033.5000000000002</v>
      </c>
      <c r="V39" s="630">
        <f>SUM(V12:V38)</f>
        <v>2583.7500000000005</v>
      </c>
    </row>
    <row r="41" spans="1:48" s="569" customFormat="1" ht="12.75" x14ac:dyDescent="0.2">
      <c r="A41" s="14"/>
      <c r="G41" s="14"/>
      <c r="H41" s="14"/>
      <c r="K41" s="14"/>
      <c r="L41" s="14"/>
      <c r="M41" s="14"/>
      <c r="N41" s="14"/>
      <c r="O41" s="14"/>
      <c r="P41" s="14"/>
      <c r="Q41" s="14"/>
      <c r="R41" s="14"/>
      <c r="S41" s="563"/>
      <c r="T41" s="563"/>
      <c r="U41" s="563"/>
      <c r="V41" s="563"/>
    </row>
    <row r="42" spans="1:48" s="569" customFormat="1" ht="12.75" customHeight="1" x14ac:dyDescent="0.25">
      <c r="K42" s="36"/>
      <c r="L42" s="36"/>
      <c r="M42" s="36"/>
      <c r="N42" s="36"/>
      <c r="O42" s="36"/>
      <c r="P42" s="36"/>
      <c r="Q42" s="36"/>
      <c r="R42" s="77"/>
      <c r="S42" s="563"/>
      <c r="T42" s="563"/>
      <c r="U42" s="36"/>
      <c r="V42" s="36"/>
    </row>
    <row r="43" spans="1:48" s="569" customFormat="1" ht="12.75" customHeight="1" x14ac:dyDescent="0.2"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48" s="569" customFormat="1" ht="12.75" x14ac:dyDescent="0.2">
      <c r="A44" s="14"/>
      <c r="B44" s="14"/>
      <c r="K44" s="14"/>
      <c r="L44" s="14"/>
      <c r="M44" s="14"/>
      <c r="N44" s="14"/>
      <c r="O44" s="14"/>
      <c r="P44" s="14"/>
      <c r="Q44" s="36"/>
      <c r="R44" s="810" t="s">
        <v>13</v>
      </c>
      <c r="S44" s="810"/>
      <c r="T44" s="810"/>
      <c r="U44" s="810"/>
      <c r="V44" s="810"/>
    </row>
    <row r="45" spans="1:48" x14ac:dyDescent="0.25">
      <c r="R45" s="810" t="s">
        <v>14</v>
      </c>
      <c r="S45" s="810"/>
      <c r="T45" s="810"/>
      <c r="U45" s="810"/>
      <c r="V45" s="810"/>
    </row>
    <row r="46" spans="1:48" x14ac:dyDescent="0.25">
      <c r="R46" s="810" t="s">
        <v>918</v>
      </c>
      <c r="S46" s="810"/>
      <c r="T46" s="810"/>
      <c r="U46" s="810"/>
      <c r="V46" s="810"/>
    </row>
    <row r="47" spans="1:48" x14ac:dyDescent="0.25">
      <c r="A47" s="492" t="s">
        <v>12</v>
      </c>
      <c r="R47" s="657"/>
      <c r="S47" s="207" t="s">
        <v>82</v>
      </c>
      <c r="T47" s="207"/>
      <c r="U47" s="207"/>
      <c r="V47" s="207"/>
    </row>
  </sheetData>
  <mergeCells count="23">
    <mergeCell ref="R44:V44"/>
    <mergeCell ref="R45:V45"/>
    <mergeCell ref="R46:V46"/>
    <mergeCell ref="B8:B10"/>
    <mergeCell ref="A8:A10"/>
    <mergeCell ref="O8:R8"/>
    <mergeCell ref="K8:N8"/>
    <mergeCell ref="G8:J8"/>
    <mergeCell ref="L9:N9"/>
    <mergeCell ref="O9:O10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35"/>
  <sheetViews>
    <sheetView view="pageBreakPreview" topLeftCell="A13" zoomScale="90" zoomScaleNormal="90" zoomScaleSheetLayoutView="90" workbookViewId="0">
      <selection activeCell="J9" sqref="J9:L9"/>
    </sheetView>
  </sheetViews>
  <sheetFormatPr defaultRowHeight="12.75" x14ac:dyDescent="0.2"/>
  <cols>
    <col min="1" max="1" width="8.28515625" style="87" customWidth="1"/>
    <col min="2" max="2" width="15.5703125" style="87" customWidth="1"/>
    <col min="3" max="3" width="15.28515625" style="87" customWidth="1"/>
    <col min="4" max="4" width="17.42578125" style="87" customWidth="1"/>
    <col min="5" max="5" width="16.140625" style="87" customWidth="1"/>
    <col min="6" max="6" width="16" style="87" customWidth="1"/>
    <col min="7" max="7" width="14.85546875" style="87" customWidth="1"/>
    <col min="8" max="8" width="17.140625" style="87" customWidth="1"/>
    <col min="9" max="9" width="15" style="87" customWidth="1"/>
    <col min="10" max="10" width="12.42578125" style="87" customWidth="1"/>
    <col min="11" max="11" width="12" style="87" customWidth="1"/>
    <col min="12" max="12" width="11.85546875" style="87" customWidth="1"/>
    <col min="13" max="16384" width="9.140625" style="87"/>
  </cols>
  <sheetData>
    <row r="1" spans="1:12" ht="18" x14ac:dyDescent="0.35">
      <c r="A1" s="918" t="s">
        <v>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317" t="s">
        <v>877</v>
      </c>
    </row>
    <row r="2" spans="1:12" ht="21" x14ac:dyDescent="0.35">
      <c r="A2" s="919" t="s">
        <v>738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</row>
    <row r="3" spans="1:12" ht="15" x14ac:dyDescent="0.3">
      <c r="A3" s="318"/>
      <c r="B3" s="318"/>
    </row>
    <row r="4" spans="1:12" ht="18" customHeight="1" x14ac:dyDescent="0.35">
      <c r="A4" s="920" t="s">
        <v>876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</row>
    <row r="5" spans="1:12" ht="15" x14ac:dyDescent="0.3">
      <c r="A5" s="319" t="s">
        <v>250</v>
      </c>
      <c r="B5" s="319"/>
    </row>
    <row r="6" spans="1:12" ht="15" x14ac:dyDescent="0.3">
      <c r="A6" s="319"/>
      <c r="B6" s="319"/>
    </row>
    <row r="7" spans="1:12" ht="15" x14ac:dyDescent="0.3">
      <c r="A7" s="917" t="s">
        <v>878</v>
      </c>
      <c r="B7" s="917"/>
      <c r="C7" s="917"/>
      <c r="D7" s="94"/>
      <c r="K7" s="921" t="s">
        <v>884</v>
      </c>
      <c r="L7" s="921"/>
    </row>
    <row r="8" spans="1:12" ht="15" x14ac:dyDescent="0.3">
      <c r="A8" s="917" t="s">
        <v>885</v>
      </c>
      <c r="B8" s="917"/>
      <c r="C8" s="917"/>
      <c r="D8" s="94"/>
      <c r="K8" s="320"/>
      <c r="L8" s="320"/>
    </row>
    <row r="9" spans="1:12" ht="15" x14ac:dyDescent="0.3">
      <c r="A9" s="319"/>
      <c r="B9" s="319"/>
      <c r="J9" s="913" t="s">
        <v>1186</v>
      </c>
      <c r="K9" s="913"/>
      <c r="L9" s="913"/>
    </row>
    <row r="10" spans="1:12" ht="49.5" customHeight="1" x14ac:dyDescent="0.2">
      <c r="A10" s="914" t="s">
        <v>2</v>
      </c>
      <c r="B10" s="915" t="s">
        <v>73</v>
      </c>
      <c r="C10" s="916" t="s">
        <v>859</v>
      </c>
      <c r="D10" s="916"/>
      <c r="E10" s="916"/>
      <c r="F10" s="916"/>
      <c r="G10" s="916" t="s">
        <v>860</v>
      </c>
      <c r="H10" s="916"/>
      <c r="I10" s="916"/>
      <c r="J10" s="916"/>
      <c r="K10" s="916" t="s">
        <v>864</v>
      </c>
      <c r="L10" s="916" t="s">
        <v>861</v>
      </c>
    </row>
    <row r="11" spans="1:12" s="317" customFormat="1" ht="76.5" customHeight="1" x14ac:dyDescent="0.25">
      <c r="A11" s="914"/>
      <c r="B11" s="915"/>
      <c r="C11" s="321" t="s">
        <v>865</v>
      </c>
      <c r="D11" s="322" t="s">
        <v>862</v>
      </c>
      <c r="E11" s="322" t="s">
        <v>863</v>
      </c>
      <c r="F11" s="321" t="s">
        <v>866</v>
      </c>
      <c r="G11" s="321" t="s">
        <v>865</v>
      </c>
      <c r="H11" s="322" t="s">
        <v>862</v>
      </c>
      <c r="I11" s="322" t="s">
        <v>863</v>
      </c>
      <c r="J11" s="321" t="s">
        <v>866</v>
      </c>
      <c r="K11" s="916"/>
      <c r="L11" s="916"/>
    </row>
    <row r="12" spans="1:12" s="317" customFormat="1" ht="15" x14ac:dyDescent="0.25">
      <c r="A12" s="323">
        <v>1</v>
      </c>
      <c r="B12" s="324">
        <v>2</v>
      </c>
      <c r="C12" s="325">
        <v>3</v>
      </c>
      <c r="D12" s="324">
        <v>4</v>
      </c>
      <c r="E12" s="324">
        <v>5</v>
      </c>
      <c r="F12" s="325">
        <v>6</v>
      </c>
      <c r="G12" s="324">
        <v>7</v>
      </c>
      <c r="H12" s="324">
        <v>8</v>
      </c>
      <c r="I12" s="325">
        <v>9</v>
      </c>
      <c r="J12" s="324">
        <v>10</v>
      </c>
      <c r="K12" s="324">
        <v>11</v>
      </c>
      <c r="L12" s="325">
        <v>12</v>
      </c>
    </row>
    <row r="13" spans="1:12" x14ac:dyDescent="0.2">
      <c r="A13" s="93">
        <v>1</v>
      </c>
      <c r="B13" s="326" t="s">
        <v>867</v>
      </c>
      <c r="C13" s="326">
        <v>104614092</v>
      </c>
      <c r="D13" s="326" t="s">
        <v>952</v>
      </c>
      <c r="E13" s="326" t="s">
        <v>953</v>
      </c>
      <c r="F13" s="326">
        <v>104614092</v>
      </c>
      <c r="G13" s="326">
        <v>265803000</v>
      </c>
      <c r="H13" s="326" t="s">
        <v>952</v>
      </c>
      <c r="I13" s="326" t="s">
        <v>953</v>
      </c>
      <c r="J13" s="326">
        <v>265803000</v>
      </c>
      <c r="K13" s="326">
        <v>370417092</v>
      </c>
      <c r="L13" s="326"/>
    </row>
    <row r="14" spans="1:12" x14ac:dyDescent="0.2">
      <c r="A14" s="93">
        <v>2</v>
      </c>
      <c r="B14" s="94" t="s">
        <v>868</v>
      </c>
      <c r="C14" s="326">
        <v>0</v>
      </c>
      <c r="D14" s="326" t="s">
        <v>952</v>
      </c>
      <c r="E14" s="326" t="s">
        <v>953</v>
      </c>
      <c r="F14" s="326">
        <v>0</v>
      </c>
      <c r="G14" s="326">
        <v>0</v>
      </c>
      <c r="H14" s="94" t="s">
        <v>952</v>
      </c>
      <c r="I14" s="94" t="s">
        <v>953</v>
      </c>
      <c r="J14" s="94">
        <v>0</v>
      </c>
      <c r="K14" s="94">
        <v>0</v>
      </c>
      <c r="L14" s="94"/>
    </row>
    <row r="15" spans="1:12" x14ac:dyDescent="0.2">
      <c r="A15" s="93">
        <v>3</v>
      </c>
      <c r="B15" s="94" t="s">
        <v>869</v>
      </c>
      <c r="C15" s="326">
        <v>53892108</v>
      </c>
      <c r="D15" s="326" t="s">
        <v>952</v>
      </c>
      <c r="E15" s="326" t="s">
        <v>953</v>
      </c>
      <c r="F15" s="326">
        <v>53892108</v>
      </c>
      <c r="G15" s="326">
        <v>88601000</v>
      </c>
      <c r="H15" s="94" t="s">
        <v>952</v>
      </c>
      <c r="I15" s="94" t="s">
        <v>953</v>
      </c>
      <c r="J15" s="94">
        <v>88601000</v>
      </c>
      <c r="K15" s="94">
        <v>142493108</v>
      </c>
      <c r="L15" s="94"/>
    </row>
    <row r="16" spans="1:12" x14ac:dyDescent="0.2">
      <c r="A16" s="93">
        <v>4</v>
      </c>
      <c r="B16" s="94" t="s">
        <v>870</v>
      </c>
      <c r="C16" s="326">
        <v>104337000</v>
      </c>
      <c r="D16" s="326" t="s">
        <v>952</v>
      </c>
      <c r="E16" s="326" t="s">
        <v>953</v>
      </c>
      <c r="F16" s="326">
        <v>104337000</v>
      </c>
      <c r="G16" s="326">
        <v>359962000</v>
      </c>
      <c r="H16" s="94" t="s">
        <v>952</v>
      </c>
      <c r="I16" s="94" t="s">
        <v>953</v>
      </c>
      <c r="J16" s="94">
        <v>359962000</v>
      </c>
      <c r="K16" s="94">
        <v>464299000</v>
      </c>
      <c r="L16" s="94"/>
    </row>
    <row r="17" spans="1:12" x14ac:dyDescent="0.2">
      <c r="A17" s="93">
        <v>5</v>
      </c>
      <c r="B17" s="94" t="s">
        <v>871</v>
      </c>
      <c r="C17" s="326">
        <v>104337000</v>
      </c>
      <c r="D17" s="326" t="s">
        <v>952</v>
      </c>
      <c r="E17" s="326" t="s">
        <v>953</v>
      </c>
      <c r="F17" s="326">
        <v>104337000</v>
      </c>
      <c r="G17" s="326">
        <v>381780000</v>
      </c>
      <c r="H17" s="94" t="s">
        <v>952</v>
      </c>
      <c r="I17" s="94" t="s">
        <v>953</v>
      </c>
      <c r="J17" s="94">
        <v>381780000</v>
      </c>
      <c r="K17" s="94">
        <v>486117000</v>
      </c>
      <c r="L17" s="94"/>
    </row>
    <row r="18" spans="1:12" x14ac:dyDescent="0.2">
      <c r="A18" s="93">
        <v>6</v>
      </c>
      <c r="B18" s="94" t="s">
        <v>872</v>
      </c>
      <c r="C18" s="326">
        <v>104337000</v>
      </c>
      <c r="D18" s="326" t="s">
        <v>952</v>
      </c>
      <c r="E18" s="326" t="s">
        <v>953</v>
      </c>
      <c r="F18" s="326">
        <v>104337000</v>
      </c>
      <c r="G18" s="326">
        <v>349058400</v>
      </c>
      <c r="H18" s="94" t="s">
        <v>952</v>
      </c>
      <c r="I18" s="94" t="s">
        <v>953</v>
      </c>
      <c r="J18" s="94">
        <v>349058400</v>
      </c>
      <c r="K18" s="94">
        <v>453395400</v>
      </c>
      <c r="L18" s="94"/>
    </row>
    <row r="19" spans="1:12" x14ac:dyDescent="0.2">
      <c r="A19" s="93">
        <v>7</v>
      </c>
      <c r="B19" s="94" t="s">
        <v>873</v>
      </c>
      <c r="C19" s="326">
        <v>104337000</v>
      </c>
      <c r="D19" s="326" t="s">
        <v>952</v>
      </c>
      <c r="E19" s="326" t="s">
        <v>953</v>
      </c>
      <c r="F19" s="326">
        <v>104337000</v>
      </c>
      <c r="G19" s="326">
        <v>359964000</v>
      </c>
      <c r="H19" s="94" t="s">
        <v>952</v>
      </c>
      <c r="I19" s="94" t="s">
        <v>953</v>
      </c>
      <c r="J19" s="94">
        <v>359964000</v>
      </c>
      <c r="K19" s="94">
        <v>464301000</v>
      </c>
      <c r="L19" s="94"/>
    </row>
    <row r="20" spans="1:12" x14ac:dyDescent="0.2">
      <c r="A20" s="93">
        <v>8</v>
      </c>
      <c r="B20" s="94" t="s">
        <v>874</v>
      </c>
      <c r="C20" s="326">
        <v>104337000</v>
      </c>
      <c r="D20" s="326" t="s">
        <v>952</v>
      </c>
      <c r="E20" s="326" t="s">
        <v>953</v>
      </c>
      <c r="F20" s="326">
        <v>104337000</v>
      </c>
      <c r="G20" s="326">
        <v>381780000</v>
      </c>
      <c r="H20" s="94" t="s">
        <v>952</v>
      </c>
      <c r="I20" s="94" t="s">
        <v>953</v>
      </c>
      <c r="J20" s="94">
        <v>381780000</v>
      </c>
      <c r="K20" s="94">
        <v>486117000</v>
      </c>
      <c r="L20" s="94"/>
    </row>
    <row r="21" spans="1:12" x14ac:dyDescent="0.2">
      <c r="A21" s="93">
        <v>9</v>
      </c>
      <c r="B21" s="94" t="s">
        <v>875</v>
      </c>
      <c r="C21" s="326">
        <v>104337000</v>
      </c>
      <c r="D21" s="326" t="s">
        <v>952</v>
      </c>
      <c r="E21" s="326" t="s">
        <v>953</v>
      </c>
      <c r="F21" s="326">
        <v>104337000</v>
      </c>
      <c r="G21" s="326">
        <v>349056000</v>
      </c>
      <c r="H21" s="94" t="s">
        <v>952</v>
      </c>
      <c r="I21" s="94" t="s">
        <v>953</v>
      </c>
      <c r="J21" s="94">
        <v>349056000</v>
      </c>
      <c r="K21" s="94">
        <v>453393000</v>
      </c>
      <c r="L21" s="94"/>
    </row>
    <row r="22" spans="1:12" x14ac:dyDescent="0.2">
      <c r="A22" s="91" t="s">
        <v>18</v>
      </c>
      <c r="B22" s="94"/>
      <c r="C22" s="326">
        <v>784528200</v>
      </c>
      <c r="D22" s="326" t="s">
        <v>952</v>
      </c>
      <c r="E22" s="326" t="s">
        <v>953</v>
      </c>
      <c r="F22" s="326">
        <v>784528200</v>
      </c>
      <c r="G22" s="326">
        <v>2536004400</v>
      </c>
      <c r="H22" s="94" t="s">
        <v>952</v>
      </c>
      <c r="I22" s="94" t="s">
        <v>953</v>
      </c>
      <c r="J22" s="94">
        <v>2536004400</v>
      </c>
      <c r="K22" s="94">
        <v>3320532600</v>
      </c>
      <c r="L22" s="94"/>
    </row>
    <row r="24" spans="1:12" ht="15" customHeight="1" x14ac:dyDescent="0.25">
      <c r="A24" s="327" t="s">
        <v>879</v>
      </c>
      <c r="B24" s="313"/>
      <c r="C24" s="313"/>
      <c r="D24" s="313"/>
      <c r="E24" s="313"/>
      <c r="F24" s="313"/>
      <c r="G24" s="313"/>
      <c r="H24" s="313"/>
      <c r="I24" s="313"/>
      <c r="J24" s="313"/>
    </row>
    <row r="25" spans="1:12" ht="15" customHeight="1" x14ac:dyDescent="0.2">
      <c r="A25" s="910" t="s">
        <v>886</v>
      </c>
      <c r="B25" s="910"/>
      <c r="C25" s="910"/>
      <c r="D25" s="910"/>
      <c r="E25" s="910"/>
      <c r="F25" s="910"/>
      <c r="G25" s="910"/>
      <c r="H25" s="910"/>
      <c r="I25" s="910"/>
      <c r="J25" s="910"/>
    </row>
    <row r="26" spans="1:12" ht="15" customHeight="1" x14ac:dyDescent="0.2">
      <c r="A26" s="910" t="s">
        <v>887</v>
      </c>
      <c r="B26" s="910"/>
      <c r="C26" s="910"/>
      <c r="D26" s="910"/>
      <c r="E26" s="328"/>
      <c r="F26" s="328"/>
      <c r="G26" s="328"/>
      <c r="H26" s="328"/>
      <c r="I26" s="328"/>
      <c r="J26" s="328"/>
    </row>
    <row r="27" spans="1:12" ht="15" customHeight="1" x14ac:dyDescent="0.2">
      <c r="A27" s="910" t="s">
        <v>888</v>
      </c>
      <c r="B27" s="910"/>
      <c r="C27" s="910"/>
      <c r="D27" s="910"/>
      <c r="E27" s="910"/>
      <c r="F27" s="910"/>
      <c r="G27" s="910"/>
      <c r="H27" s="910"/>
      <c r="I27" s="910"/>
      <c r="J27" s="910"/>
    </row>
    <row r="28" spans="1:12" ht="13.5" customHeight="1" x14ac:dyDescent="0.2">
      <c r="A28" s="911"/>
      <c r="B28" s="912"/>
      <c r="C28" s="912"/>
      <c r="D28" s="912"/>
      <c r="E28" s="912"/>
      <c r="F28" s="912"/>
      <c r="G28" s="912"/>
      <c r="H28" s="912"/>
      <c r="I28" s="910"/>
      <c r="J28" s="910"/>
    </row>
    <row r="29" spans="1:12" ht="15" customHeight="1" x14ac:dyDescent="0.2">
      <c r="A29" s="329"/>
      <c r="B29" s="330"/>
      <c r="C29" s="330"/>
      <c r="D29" s="330"/>
      <c r="E29" s="330"/>
      <c r="F29" s="330"/>
      <c r="G29" s="330"/>
      <c r="H29" s="330"/>
      <c r="I29" s="329"/>
      <c r="J29" s="329"/>
    </row>
    <row r="30" spans="1:12" ht="15" customHeight="1" x14ac:dyDescent="0.2">
      <c r="A30" s="329"/>
      <c r="B30" s="330"/>
      <c r="C30" s="330"/>
      <c r="D30" s="330"/>
      <c r="E30" s="330"/>
      <c r="F30" s="330"/>
      <c r="G30" s="330"/>
      <c r="H30" s="330"/>
      <c r="I30" s="329"/>
      <c r="J30" s="329"/>
    </row>
    <row r="31" spans="1:12" ht="15" customHeight="1" x14ac:dyDescent="0.2">
      <c r="A31" s="329"/>
      <c r="B31" s="330"/>
      <c r="C31" s="330"/>
      <c r="D31" s="330"/>
      <c r="E31" s="330"/>
      <c r="F31" s="14"/>
      <c r="G31" s="810" t="s">
        <v>13</v>
      </c>
      <c r="H31" s="810"/>
      <c r="I31" s="810"/>
      <c r="J31" s="810"/>
      <c r="K31" s="810"/>
      <c r="L31" s="563"/>
    </row>
    <row r="32" spans="1:12" s="494" customFormat="1" ht="15" customHeight="1" x14ac:dyDescent="0.2">
      <c r="A32" s="331"/>
      <c r="B32" s="331"/>
      <c r="C32" s="331"/>
      <c r="D32" s="331"/>
      <c r="E32" s="331"/>
      <c r="F32" s="563"/>
      <c r="G32" s="810" t="s">
        <v>14</v>
      </c>
      <c r="H32" s="810"/>
      <c r="I32" s="810"/>
      <c r="J32" s="810"/>
      <c r="K32" s="810"/>
      <c r="L32" s="563"/>
    </row>
    <row r="33" spans="1:12" s="494" customFormat="1" ht="15" customHeight="1" x14ac:dyDescent="0.25">
      <c r="A33" s="492" t="s">
        <v>12</v>
      </c>
      <c r="B33" s="331"/>
      <c r="C33" s="331"/>
      <c r="D33" s="331"/>
      <c r="E33" s="331"/>
      <c r="F33" s="810" t="s">
        <v>918</v>
      </c>
      <c r="G33" s="810"/>
      <c r="H33" s="810"/>
      <c r="I33" s="810"/>
      <c r="J33" s="810"/>
      <c r="K33" s="810"/>
      <c r="L33" s="810"/>
    </row>
    <row r="34" spans="1:12" s="494" customFormat="1" x14ac:dyDescent="0.2">
      <c r="A34" s="331"/>
      <c r="C34" s="331"/>
      <c r="D34" s="331"/>
      <c r="E34" s="331"/>
      <c r="F34" s="909" t="s">
        <v>82</v>
      </c>
      <c r="G34" s="909"/>
      <c r="H34" s="909"/>
      <c r="I34" s="909"/>
      <c r="J34" s="909"/>
      <c r="K34" s="909"/>
      <c r="L34" s="909"/>
    </row>
    <row r="35" spans="1:12" s="494" customFormat="1" x14ac:dyDescent="0.2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</row>
  </sheetData>
  <mergeCells count="24">
    <mergeCell ref="A8:C8"/>
    <mergeCell ref="A1:K1"/>
    <mergeCell ref="A2:L2"/>
    <mergeCell ref="A4:L4"/>
    <mergeCell ref="A7:C7"/>
    <mergeCell ref="K7:L7"/>
    <mergeCell ref="J9:L9"/>
    <mergeCell ref="A10:A11"/>
    <mergeCell ref="B10:B11"/>
    <mergeCell ref="C10:F10"/>
    <mergeCell ref="G10:J10"/>
    <mergeCell ref="K10:K11"/>
    <mergeCell ref="L10:L11"/>
    <mergeCell ref="F33:L33"/>
    <mergeCell ref="F34:L34"/>
    <mergeCell ref="A25:J25"/>
    <mergeCell ref="A26:D26"/>
    <mergeCell ref="A27:D27"/>
    <mergeCell ref="E27:H27"/>
    <mergeCell ref="I27:J27"/>
    <mergeCell ref="A28:H28"/>
    <mergeCell ref="I28:J28"/>
    <mergeCell ref="G31:K31"/>
    <mergeCell ref="G32:K32"/>
  </mergeCells>
  <printOptions horizontalCentered="1"/>
  <pageMargins left="0.70866141732283505" right="0.70866141732283505" top="0.98622047199999996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  <pageSetUpPr fitToPage="1"/>
  </sheetPr>
  <dimension ref="A1:S45"/>
  <sheetViews>
    <sheetView zoomScale="85" zoomScaleNormal="85" zoomScaleSheetLayoutView="100" workbookViewId="0">
      <selection activeCell="I38" activeCellId="1" sqref="E38 I38"/>
    </sheetView>
  </sheetViews>
  <sheetFormatPr defaultColWidth="8.85546875" defaultRowHeight="14.25" x14ac:dyDescent="0.2"/>
  <cols>
    <col min="1" max="1" width="8.140625" style="75" customWidth="1"/>
    <col min="2" max="2" width="18.140625" style="75" customWidth="1"/>
    <col min="3" max="3" width="12.140625" style="75" customWidth="1"/>
    <col min="4" max="4" width="11.7109375" style="75" customWidth="1"/>
    <col min="5" max="5" width="11.28515625" style="75" customWidth="1"/>
    <col min="6" max="6" width="17.140625" style="75" customWidth="1"/>
    <col min="7" max="7" width="15.140625" style="75" customWidth="1"/>
    <col min="8" max="8" width="14.42578125" style="75" customWidth="1"/>
    <col min="9" max="9" width="14.85546875" style="75" customWidth="1"/>
    <col min="10" max="10" width="18.42578125" style="75" customWidth="1"/>
    <col min="11" max="11" width="17.28515625" style="75" customWidth="1"/>
    <col min="12" max="12" width="16.28515625" style="75" customWidth="1"/>
    <col min="13" max="16384" width="8.85546875" style="75"/>
  </cols>
  <sheetData>
    <row r="1" spans="1:15" ht="15" x14ac:dyDescent="0.2">
      <c r="B1" s="15"/>
      <c r="C1" s="15"/>
      <c r="D1" s="15"/>
      <c r="E1" s="15"/>
      <c r="F1" s="1"/>
      <c r="G1" s="1"/>
      <c r="H1" s="15"/>
      <c r="J1" s="41"/>
      <c r="K1" s="965" t="s">
        <v>535</v>
      </c>
      <c r="L1" s="965"/>
    </row>
    <row r="2" spans="1:15" ht="15.75" x14ac:dyDescent="0.25">
      <c r="B2" s="865" t="s">
        <v>0</v>
      </c>
      <c r="C2" s="865"/>
      <c r="D2" s="865"/>
      <c r="E2" s="865"/>
      <c r="F2" s="865"/>
      <c r="G2" s="865"/>
      <c r="H2" s="865"/>
      <c r="I2" s="865"/>
      <c r="J2" s="865"/>
    </row>
    <row r="3" spans="1:15" ht="20.25" x14ac:dyDescent="0.3">
      <c r="B3" s="863" t="s">
        <v>738</v>
      </c>
      <c r="C3" s="863"/>
      <c r="D3" s="863"/>
      <c r="E3" s="863"/>
      <c r="F3" s="863"/>
      <c r="G3" s="863"/>
      <c r="H3" s="863"/>
      <c r="I3" s="863"/>
      <c r="J3" s="863"/>
    </row>
    <row r="4" spans="1:15" ht="20.25" x14ac:dyDescent="0.3">
      <c r="B4" s="122"/>
      <c r="C4" s="122"/>
      <c r="D4" s="122"/>
      <c r="E4" s="122"/>
      <c r="F4" s="122"/>
      <c r="G4" s="122"/>
      <c r="H4" s="122"/>
      <c r="I4" s="122"/>
      <c r="J4" s="122"/>
    </row>
    <row r="5" spans="1:15" ht="15.6" customHeight="1" x14ac:dyDescent="0.25">
      <c r="B5" s="1142" t="s">
        <v>755</v>
      </c>
      <c r="C5" s="1142"/>
      <c r="D5" s="1142"/>
      <c r="E5" s="1142"/>
      <c r="F5" s="1142"/>
      <c r="G5" s="1142"/>
      <c r="H5" s="1142"/>
      <c r="I5" s="1142"/>
      <c r="J5" s="1142"/>
      <c r="K5" s="1142"/>
      <c r="L5" s="1142"/>
    </row>
    <row r="6" spans="1:15" ht="15.75" x14ac:dyDescent="0.3">
      <c r="A6" s="197" t="s">
        <v>917</v>
      </c>
      <c r="B6" s="197" t="s">
        <v>916</v>
      </c>
      <c r="C6" s="32"/>
    </row>
    <row r="7" spans="1:15" ht="15" customHeight="1" x14ac:dyDescent="0.25">
      <c r="A7" s="1136" t="s">
        <v>106</v>
      </c>
      <c r="B7" s="1118" t="s">
        <v>3</v>
      </c>
      <c r="C7" s="1147" t="s">
        <v>23</v>
      </c>
      <c r="D7" s="1147"/>
      <c r="E7" s="1147"/>
      <c r="F7" s="1147"/>
      <c r="G7" s="1139" t="s">
        <v>24</v>
      </c>
      <c r="H7" s="1140"/>
      <c r="I7" s="1140"/>
      <c r="J7" s="1141"/>
      <c r="K7" s="1118" t="s">
        <v>379</v>
      </c>
      <c r="L7" s="1115" t="s">
        <v>665</v>
      </c>
    </row>
    <row r="8" spans="1:15" ht="31.15" customHeight="1" x14ac:dyDescent="0.2">
      <c r="A8" s="1137"/>
      <c r="B8" s="1143"/>
      <c r="C8" s="1115" t="s">
        <v>237</v>
      </c>
      <c r="D8" s="1118" t="s">
        <v>435</v>
      </c>
      <c r="E8" s="1146" t="s">
        <v>94</v>
      </c>
      <c r="F8" s="1114"/>
      <c r="G8" s="1119" t="s">
        <v>237</v>
      </c>
      <c r="H8" s="1115" t="s">
        <v>435</v>
      </c>
      <c r="I8" s="1144" t="s">
        <v>94</v>
      </c>
      <c r="J8" s="1145"/>
      <c r="K8" s="1143"/>
      <c r="L8" s="1115"/>
    </row>
    <row r="9" spans="1:15" ht="69.75" customHeight="1" x14ac:dyDescent="0.2">
      <c r="A9" s="1138"/>
      <c r="B9" s="1119"/>
      <c r="C9" s="1115"/>
      <c r="D9" s="1119"/>
      <c r="E9" s="86" t="s">
        <v>881</v>
      </c>
      <c r="F9" s="86" t="s">
        <v>436</v>
      </c>
      <c r="G9" s="1115"/>
      <c r="H9" s="1115"/>
      <c r="I9" s="86" t="s">
        <v>881</v>
      </c>
      <c r="J9" s="86" t="s">
        <v>436</v>
      </c>
      <c r="K9" s="1119"/>
      <c r="L9" s="1115"/>
      <c r="M9" s="106"/>
      <c r="N9" s="106"/>
      <c r="O9" s="106"/>
    </row>
    <row r="10" spans="1:15" x14ac:dyDescent="0.2">
      <c r="A10" s="148">
        <v>1</v>
      </c>
      <c r="B10" s="147">
        <v>2</v>
      </c>
      <c r="C10" s="148">
        <v>3</v>
      </c>
      <c r="D10" s="147">
        <v>4</v>
      </c>
      <c r="E10" s="148">
        <v>5</v>
      </c>
      <c r="F10" s="147">
        <v>6</v>
      </c>
      <c r="G10" s="148">
        <v>7</v>
      </c>
      <c r="H10" s="147">
        <v>8</v>
      </c>
      <c r="I10" s="148">
        <v>9</v>
      </c>
      <c r="J10" s="147">
        <v>10</v>
      </c>
      <c r="K10" s="148" t="s">
        <v>542</v>
      </c>
      <c r="L10" s="147">
        <v>12</v>
      </c>
      <c r="M10" s="106"/>
      <c r="N10" s="106"/>
      <c r="O10" s="106"/>
    </row>
    <row r="11" spans="1:15" ht="19.5" customHeight="1" x14ac:dyDescent="0.2">
      <c r="A11" s="556">
        <v>1</v>
      </c>
      <c r="B11" s="419" t="s">
        <v>890</v>
      </c>
      <c r="C11" s="557">
        <v>48824</v>
      </c>
      <c r="D11" s="558">
        <f>'[1]AT-8_Hon_CCH_Pry'!C26</f>
        <v>1754</v>
      </c>
      <c r="E11" s="559">
        <v>1553</v>
      </c>
      <c r="F11" s="558">
        <v>0</v>
      </c>
      <c r="G11" s="557">
        <v>32634</v>
      </c>
      <c r="H11" s="560">
        <v>990</v>
      </c>
      <c r="I11" s="557">
        <v>899</v>
      </c>
      <c r="J11" s="558">
        <v>0</v>
      </c>
      <c r="K11" s="557">
        <f>D11+H11</f>
        <v>2744</v>
      </c>
      <c r="L11" s="558"/>
      <c r="M11" s="106"/>
      <c r="N11" s="106"/>
      <c r="O11" s="106"/>
    </row>
    <row r="12" spans="1:15" ht="19.5" customHeight="1" x14ac:dyDescent="0.2">
      <c r="A12" s="556">
        <v>2</v>
      </c>
      <c r="B12" s="419" t="s">
        <v>891</v>
      </c>
      <c r="C12" s="557">
        <v>113686</v>
      </c>
      <c r="D12" s="558">
        <f>'[1]AT-8_Hon_CCH_Pry'!C29</f>
        <v>2932</v>
      </c>
      <c r="E12" s="559">
        <v>2732</v>
      </c>
      <c r="F12" s="558">
        <v>0</v>
      </c>
      <c r="G12" s="557">
        <v>71039</v>
      </c>
      <c r="H12" s="377">
        <v>1735</v>
      </c>
      <c r="I12" s="557">
        <v>1597</v>
      </c>
      <c r="J12" s="558">
        <v>0</v>
      </c>
      <c r="K12" s="557">
        <f t="shared" ref="K12:K37" si="0">D12+H12</f>
        <v>4667</v>
      </c>
      <c r="L12" s="558"/>
      <c r="M12" s="106"/>
      <c r="N12" s="106"/>
      <c r="O12" s="106"/>
    </row>
    <row r="13" spans="1:15" ht="19.5" customHeight="1" x14ac:dyDescent="0.2">
      <c r="A13" s="556">
        <v>3</v>
      </c>
      <c r="B13" s="419" t="s">
        <v>892</v>
      </c>
      <c r="C13" s="557">
        <v>72733</v>
      </c>
      <c r="D13" s="558">
        <f>'[1]AT-8_Hon_CCH_Pry'!C15</f>
        <v>2678</v>
      </c>
      <c r="E13" s="559">
        <v>2535</v>
      </c>
      <c r="F13" s="558">
        <v>0</v>
      </c>
      <c r="G13" s="557">
        <v>39498</v>
      </c>
      <c r="H13" s="377">
        <v>1208</v>
      </c>
      <c r="I13" s="557">
        <v>1166</v>
      </c>
      <c r="J13" s="558">
        <v>0</v>
      </c>
      <c r="K13" s="557">
        <f t="shared" si="0"/>
        <v>3886</v>
      </c>
      <c r="L13" s="558"/>
      <c r="M13" s="106"/>
      <c r="N13" s="106"/>
      <c r="O13" s="106"/>
    </row>
    <row r="14" spans="1:15" ht="19.5" customHeight="1" x14ac:dyDescent="0.2">
      <c r="A14" s="556">
        <v>4</v>
      </c>
      <c r="B14" s="419" t="s">
        <v>893</v>
      </c>
      <c r="C14" s="557">
        <v>69485</v>
      </c>
      <c r="D14" s="558">
        <f>'[1]AT-8_Hon_CCH_Pry'!C22</f>
        <v>3011</v>
      </c>
      <c r="E14" s="559">
        <v>2638</v>
      </c>
      <c r="F14" s="558">
        <v>0</v>
      </c>
      <c r="G14" s="557">
        <v>35955</v>
      </c>
      <c r="H14" s="377">
        <v>1291</v>
      </c>
      <c r="I14" s="557">
        <v>1203</v>
      </c>
      <c r="J14" s="558">
        <v>0</v>
      </c>
      <c r="K14" s="557">
        <f t="shared" si="0"/>
        <v>4302</v>
      </c>
      <c r="L14" s="558"/>
      <c r="M14" s="106"/>
      <c r="N14" s="106"/>
      <c r="O14" s="106"/>
    </row>
    <row r="15" spans="1:15" ht="19.5" customHeight="1" x14ac:dyDescent="0.2">
      <c r="A15" s="556">
        <v>5</v>
      </c>
      <c r="B15" s="419" t="s">
        <v>894</v>
      </c>
      <c r="C15" s="557">
        <v>71214</v>
      </c>
      <c r="D15" s="558">
        <f>'[1]AT-8_Hon_CCH_Pry'!C27</f>
        <v>1876</v>
      </c>
      <c r="E15" s="559">
        <v>1704</v>
      </c>
      <c r="F15" s="558">
        <v>0</v>
      </c>
      <c r="G15" s="557">
        <v>46645</v>
      </c>
      <c r="H15" s="377">
        <v>1088</v>
      </c>
      <c r="I15" s="557">
        <v>1004</v>
      </c>
      <c r="J15" s="558">
        <v>0</v>
      </c>
      <c r="K15" s="557">
        <f t="shared" si="0"/>
        <v>2964</v>
      </c>
      <c r="L15" s="558"/>
      <c r="M15" s="106"/>
      <c r="N15" s="106"/>
      <c r="O15" s="106"/>
    </row>
    <row r="16" spans="1:15" ht="19.5" customHeight="1" x14ac:dyDescent="0.2">
      <c r="A16" s="556">
        <v>6</v>
      </c>
      <c r="B16" s="419" t="s">
        <v>895</v>
      </c>
      <c r="C16" s="557">
        <v>29859</v>
      </c>
      <c r="D16" s="558">
        <f>'[1]AT-8_Hon_CCH_Pry'!C39</f>
        <v>987</v>
      </c>
      <c r="E16" s="559">
        <v>937</v>
      </c>
      <c r="F16" s="558">
        <v>0</v>
      </c>
      <c r="G16" s="557">
        <v>10901</v>
      </c>
      <c r="H16" s="377">
        <v>322</v>
      </c>
      <c r="I16" s="557">
        <v>337</v>
      </c>
      <c r="J16" s="558">
        <v>0</v>
      </c>
      <c r="K16" s="557">
        <f t="shared" si="0"/>
        <v>1309</v>
      </c>
      <c r="L16" s="558"/>
      <c r="M16" s="106"/>
      <c r="N16" s="106"/>
      <c r="O16" s="106"/>
    </row>
    <row r="17" spans="1:19" ht="19.5" customHeight="1" x14ac:dyDescent="0.2">
      <c r="A17" s="556">
        <v>7</v>
      </c>
      <c r="B17" s="419" t="s">
        <v>896</v>
      </c>
      <c r="C17" s="557">
        <v>147084</v>
      </c>
      <c r="D17" s="558">
        <f>'[1]AT-8_Hon_CCH_Pry'!C17</f>
        <v>4367</v>
      </c>
      <c r="E17" s="559">
        <v>3737</v>
      </c>
      <c r="F17" s="558">
        <v>0</v>
      </c>
      <c r="G17" s="557">
        <v>90381</v>
      </c>
      <c r="H17" s="377">
        <v>2247</v>
      </c>
      <c r="I17" s="557">
        <v>2001</v>
      </c>
      <c r="J17" s="558">
        <v>0</v>
      </c>
      <c r="K17" s="557">
        <f t="shared" si="0"/>
        <v>6614</v>
      </c>
      <c r="L17" s="558"/>
      <c r="M17" s="106"/>
      <c r="N17" s="106"/>
      <c r="O17" s="106"/>
    </row>
    <row r="18" spans="1:19" ht="19.5" customHeight="1" x14ac:dyDescent="0.2">
      <c r="A18" s="556">
        <v>8</v>
      </c>
      <c r="B18" s="419" t="s">
        <v>897</v>
      </c>
      <c r="C18" s="557">
        <v>25976</v>
      </c>
      <c r="D18" s="558">
        <f>'[1]AT-8_Hon_CCH_Pry'!C38</f>
        <v>1054</v>
      </c>
      <c r="E18" s="559">
        <v>990</v>
      </c>
      <c r="F18" s="558">
        <v>0</v>
      </c>
      <c r="G18" s="557">
        <v>10743</v>
      </c>
      <c r="H18" s="377">
        <v>344</v>
      </c>
      <c r="I18" s="557">
        <v>368</v>
      </c>
      <c r="J18" s="558">
        <v>0</v>
      </c>
      <c r="K18" s="557">
        <f t="shared" si="0"/>
        <v>1398</v>
      </c>
      <c r="L18" s="558"/>
      <c r="M18" s="106"/>
      <c r="N18" s="106"/>
      <c r="O18" s="106"/>
    </row>
    <row r="19" spans="1:19" ht="19.5" customHeight="1" x14ac:dyDescent="0.2">
      <c r="A19" s="556">
        <v>9</v>
      </c>
      <c r="B19" s="419" t="s">
        <v>898</v>
      </c>
      <c r="C19" s="557">
        <v>46101</v>
      </c>
      <c r="D19" s="558">
        <f>'[1]AT-8_Hon_CCH_Pry'!C36</f>
        <v>1763</v>
      </c>
      <c r="E19" s="559">
        <v>1561</v>
      </c>
      <c r="F19" s="558">
        <v>0</v>
      </c>
      <c r="G19" s="557">
        <v>31358</v>
      </c>
      <c r="H19" s="377">
        <v>1045</v>
      </c>
      <c r="I19" s="557">
        <v>930</v>
      </c>
      <c r="J19" s="558">
        <v>0</v>
      </c>
      <c r="K19" s="557">
        <f t="shared" si="0"/>
        <v>2808</v>
      </c>
      <c r="L19" s="558"/>
      <c r="M19" s="106"/>
      <c r="N19" s="106"/>
      <c r="O19" s="106"/>
    </row>
    <row r="20" spans="1:19" ht="19.5" customHeight="1" x14ac:dyDescent="0.2">
      <c r="A20" s="556">
        <v>10</v>
      </c>
      <c r="B20" s="419" t="s">
        <v>899</v>
      </c>
      <c r="C20" s="557">
        <v>63850</v>
      </c>
      <c r="D20" s="558">
        <f>'[1]AT-8_Hon_CCH_Pry'!C20</f>
        <v>1549</v>
      </c>
      <c r="E20" s="559">
        <v>1446</v>
      </c>
      <c r="F20" s="558">
        <v>0</v>
      </c>
      <c r="G20" s="557">
        <v>45546</v>
      </c>
      <c r="H20" s="377">
        <v>1011</v>
      </c>
      <c r="I20" s="557">
        <v>951</v>
      </c>
      <c r="J20" s="558">
        <v>0</v>
      </c>
      <c r="K20" s="557">
        <f t="shared" si="0"/>
        <v>2560</v>
      </c>
      <c r="L20" s="558"/>
      <c r="M20" s="106"/>
      <c r="N20" s="106"/>
      <c r="O20" s="106"/>
    </row>
    <row r="21" spans="1:19" ht="19.5" customHeight="1" x14ac:dyDescent="0.2">
      <c r="A21" s="556">
        <v>11</v>
      </c>
      <c r="B21" s="419" t="s">
        <v>900</v>
      </c>
      <c r="C21" s="557">
        <v>49939</v>
      </c>
      <c r="D21" s="558">
        <f>'[1]AT-8_Hon_CCH_Pry'!C28</f>
        <v>1875</v>
      </c>
      <c r="E21" s="559">
        <v>1755</v>
      </c>
      <c r="F21" s="558">
        <v>0</v>
      </c>
      <c r="G21" s="557">
        <v>29837</v>
      </c>
      <c r="H21" s="377">
        <v>931</v>
      </c>
      <c r="I21" s="557">
        <v>901</v>
      </c>
      <c r="J21" s="558">
        <v>0</v>
      </c>
      <c r="K21" s="557">
        <f t="shared" si="0"/>
        <v>2806</v>
      </c>
      <c r="L21" s="558"/>
      <c r="M21" s="106"/>
      <c r="N21" s="106"/>
      <c r="O21" s="106"/>
    </row>
    <row r="22" spans="1:19" s="105" customFormat="1" ht="19.5" customHeight="1" x14ac:dyDescent="0.2">
      <c r="A22" s="556">
        <v>12</v>
      </c>
      <c r="B22" s="419" t="s">
        <v>941</v>
      </c>
      <c r="C22" s="558">
        <v>102891</v>
      </c>
      <c r="D22" s="558">
        <f>'[1]AT-8_Hon_CCH_Pry'!C31</f>
        <v>3487</v>
      </c>
      <c r="E22" s="559">
        <v>3061</v>
      </c>
      <c r="F22" s="558">
        <v>0</v>
      </c>
      <c r="G22" s="558">
        <v>66470</v>
      </c>
      <c r="H22" s="377">
        <v>1888</v>
      </c>
      <c r="I22" s="557">
        <v>1771</v>
      </c>
      <c r="J22" s="558">
        <v>0</v>
      </c>
      <c r="K22" s="557">
        <f t="shared" si="0"/>
        <v>5375</v>
      </c>
      <c r="L22" s="557"/>
      <c r="M22" s="106"/>
      <c r="N22" s="106"/>
      <c r="O22" s="106"/>
      <c r="P22" s="106"/>
      <c r="Q22" s="106"/>
      <c r="R22" s="106"/>
      <c r="S22" s="106"/>
    </row>
    <row r="23" spans="1:19" ht="19.5" customHeight="1" x14ac:dyDescent="0.2">
      <c r="A23" s="556">
        <v>13</v>
      </c>
      <c r="B23" s="419" t="s">
        <v>902</v>
      </c>
      <c r="C23" s="558">
        <v>66460</v>
      </c>
      <c r="D23" s="558">
        <f>'[1]AT-8_Hon_CCH_Pry'!C33</f>
        <v>2847</v>
      </c>
      <c r="E23" s="559">
        <v>2740</v>
      </c>
      <c r="F23" s="558">
        <v>0</v>
      </c>
      <c r="G23" s="558">
        <v>37638</v>
      </c>
      <c r="H23" s="377">
        <v>1108</v>
      </c>
      <c r="I23" s="557">
        <v>1083</v>
      </c>
      <c r="J23" s="558">
        <v>0</v>
      </c>
      <c r="K23" s="557">
        <f t="shared" si="0"/>
        <v>3955</v>
      </c>
      <c r="L23" s="557"/>
      <c r="M23" s="106"/>
      <c r="N23" s="106"/>
      <c r="O23" s="106"/>
    </row>
    <row r="24" spans="1:19" ht="19.5" customHeight="1" x14ac:dyDescent="0.2">
      <c r="A24" s="556">
        <v>14</v>
      </c>
      <c r="B24" s="419" t="s">
        <v>903</v>
      </c>
      <c r="C24" s="557">
        <v>52361</v>
      </c>
      <c r="D24" s="558">
        <f>'[1]AT-8_Hon_CCH_Pry'!C37</f>
        <v>2589</v>
      </c>
      <c r="E24" s="559">
        <v>2406</v>
      </c>
      <c r="F24" s="558">
        <v>0</v>
      </c>
      <c r="G24" s="557">
        <v>32951</v>
      </c>
      <c r="H24" s="377">
        <v>1248</v>
      </c>
      <c r="I24" s="557">
        <v>1167</v>
      </c>
      <c r="J24" s="558">
        <v>0</v>
      </c>
      <c r="K24" s="557">
        <f t="shared" si="0"/>
        <v>3837</v>
      </c>
      <c r="L24" s="557"/>
      <c r="M24" s="106"/>
      <c r="N24" s="106"/>
      <c r="O24" s="106"/>
    </row>
    <row r="25" spans="1:19" ht="19.5" customHeight="1" x14ac:dyDescent="0.2">
      <c r="A25" s="556">
        <v>15</v>
      </c>
      <c r="B25" s="419" t="s">
        <v>904</v>
      </c>
      <c r="C25" s="557">
        <v>75629</v>
      </c>
      <c r="D25" s="558">
        <f>'[1]AT-8_Hon_CCH_Pry'!C34</f>
        <v>2290</v>
      </c>
      <c r="E25" s="559">
        <v>2053</v>
      </c>
      <c r="F25" s="558">
        <v>0</v>
      </c>
      <c r="G25" s="557">
        <v>45010</v>
      </c>
      <c r="H25" s="377">
        <v>1244</v>
      </c>
      <c r="I25" s="557">
        <v>1125</v>
      </c>
      <c r="J25" s="558">
        <v>0</v>
      </c>
      <c r="K25" s="557">
        <f t="shared" si="0"/>
        <v>3534</v>
      </c>
      <c r="L25" s="557"/>
    </row>
    <row r="26" spans="1:19" ht="19.5" customHeight="1" x14ac:dyDescent="0.2">
      <c r="A26" s="556">
        <v>16</v>
      </c>
      <c r="B26" s="419" t="s">
        <v>905</v>
      </c>
      <c r="C26" s="557">
        <v>53454</v>
      </c>
      <c r="D26" s="558">
        <f>'[1]AT-8_Hon_CCH_Pry'!C25</f>
        <v>2109</v>
      </c>
      <c r="E26" s="559">
        <v>2119</v>
      </c>
      <c r="F26" s="558">
        <v>0</v>
      </c>
      <c r="G26" s="557">
        <v>30598</v>
      </c>
      <c r="H26" s="377">
        <v>1194</v>
      </c>
      <c r="I26" s="557">
        <v>1119</v>
      </c>
      <c r="J26" s="558">
        <v>0</v>
      </c>
      <c r="K26" s="557">
        <f t="shared" si="0"/>
        <v>3303</v>
      </c>
      <c r="L26" s="557"/>
      <c r="N26" s="75" t="s">
        <v>11</v>
      </c>
    </row>
    <row r="27" spans="1:19" ht="19.5" customHeight="1" x14ac:dyDescent="0.2">
      <c r="A27" s="556">
        <v>17</v>
      </c>
      <c r="B27" s="419" t="s">
        <v>906</v>
      </c>
      <c r="C27" s="557">
        <v>74981</v>
      </c>
      <c r="D27" s="558">
        <f>'[1]AT-8_Hon_CCH_Pry'!C32</f>
        <v>2957</v>
      </c>
      <c r="E27" s="559">
        <v>2671</v>
      </c>
      <c r="F27" s="558">
        <v>0</v>
      </c>
      <c r="G27" s="557">
        <v>46059</v>
      </c>
      <c r="H27" s="377">
        <v>1352</v>
      </c>
      <c r="I27" s="557">
        <v>1160</v>
      </c>
      <c r="J27" s="558">
        <v>0</v>
      </c>
      <c r="K27" s="557">
        <f t="shared" si="0"/>
        <v>4309</v>
      </c>
      <c r="L27" s="557"/>
    </row>
    <row r="28" spans="1:19" ht="19.5" customHeight="1" x14ac:dyDescent="0.2">
      <c r="A28" s="556">
        <v>18</v>
      </c>
      <c r="B28" s="419" t="s">
        <v>907</v>
      </c>
      <c r="C28" s="557">
        <v>42131</v>
      </c>
      <c r="D28" s="558">
        <f>'[1]AT-8_Hon_CCH_Pry'!C30</f>
        <v>1541</v>
      </c>
      <c r="E28" s="559">
        <v>1655</v>
      </c>
      <c r="F28" s="558">
        <v>0</v>
      </c>
      <c r="G28" s="557">
        <v>26219</v>
      </c>
      <c r="H28" s="377">
        <v>830</v>
      </c>
      <c r="I28" s="557">
        <v>826</v>
      </c>
      <c r="J28" s="558">
        <v>0</v>
      </c>
      <c r="K28" s="557">
        <f t="shared" si="0"/>
        <v>2371</v>
      </c>
      <c r="L28" s="557"/>
    </row>
    <row r="29" spans="1:19" ht="19.5" customHeight="1" x14ac:dyDescent="0.2">
      <c r="A29" s="556">
        <v>19</v>
      </c>
      <c r="B29" s="419" t="s">
        <v>908</v>
      </c>
      <c r="C29" s="557">
        <v>76997</v>
      </c>
      <c r="D29" s="558">
        <f>'[1]AT-8_Hon_CCH_Pry'!C35</f>
        <v>2655</v>
      </c>
      <c r="E29" s="559">
        <v>2460</v>
      </c>
      <c r="F29" s="558">
        <v>0</v>
      </c>
      <c r="G29" s="557">
        <v>51820</v>
      </c>
      <c r="H29" s="377">
        <v>1285</v>
      </c>
      <c r="I29" s="557">
        <v>1208</v>
      </c>
      <c r="J29" s="558">
        <v>0</v>
      </c>
      <c r="K29" s="557">
        <f t="shared" si="0"/>
        <v>3940</v>
      </c>
      <c r="L29" s="557"/>
    </row>
    <row r="30" spans="1:19" ht="19.5" customHeight="1" x14ac:dyDescent="0.2">
      <c r="A30" s="556">
        <v>20</v>
      </c>
      <c r="B30" s="419" t="s">
        <v>909</v>
      </c>
      <c r="C30" s="557">
        <v>66454</v>
      </c>
      <c r="D30" s="558">
        <f>'[1]AT-8_Hon_CCH_Pry'!C40</f>
        <v>1789</v>
      </c>
      <c r="E30" s="559">
        <v>1555</v>
      </c>
      <c r="F30" s="558">
        <v>0</v>
      </c>
      <c r="G30" s="557">
        <v>37185</v>
      </c>
      <c r="H30" s="377">
        <v>781</v>
      </c>
      <c r="I30" s="557">
        <v>767</v>
      </c>
      <c r="J30" s="558">
        <v>0</v>
      </c>
      <c r="K30" s="557">
        <f t="shared" si="0"/>
        <v>2570</v>
      </c>
      <c r="L30" s="557"/>
    </row>
    <row r="31" spans="1:19" ht="19.5" customHeight="1" x14ac:dyDescent="0.2">
      <c r="A31" s="556">
        <v>21</v>
      </c>
      <c r="B31" s="419" t="s">
        <v>910</v>
      </c>
      <c r="C31" s="557">
        <v>15281</v>
      </c>
      <c r="D31" s="558">
        <f>'[1]AT-8_Hon_CCH_Pry'!C23</f>
        <v>725</v>
      </c>
      <c r="E31" s="559">
        <v>608</v>
      </c>
      <c r="F31" s="558">
        <v>0</v>
      </c>
      <c r="G31" s="557">
        <v>7120</v>
      </c>
      <c r="H31" s="377">
        <v>205</v>
      </c>
      <c r="I31" s="557">
        <v>243</v>
      </c>
      <c r="J31" s="558">
        <v>0</v>
      </c>
      <c r="K31" s="557">
        <f t="shared" si="0"/>
        <v>930</v>
      </c>
      <c r="L31" s="557"/>
    </row>
    <row r="32" spans="1:19" ht="19.5" customHeight="1" x14ac:dyDescent="0.2">
      <c r="A32" s="556">
        <v>22</v>
      </c>
      <c r="B32" s="419" t="s">
        <v>911</v>
      </c>
      <c r="C32" s="557">
        <v>85322</v>
      </c>
      <c r="D32" s="558">
        <f>'[1]AT-8_Hon_CCH_Pry'!C18</f>
        <v>3801</v>
      </c>
      <c r="E32" s="559">
        <v>3314</v>
      </c>
      <c r="F32" s="558">
        <v>0</v>
      </c>
      <c r="G32" s="557">
        <v>55882</v>
      </c>
      <c r="H32" s="377">
        <v>2004</v>
      </c>
      <c r="I32" s="557">
        <v>1799</v>
      </c>
      <c r="J32" s="558">
        <v>0</v>
      </c>
      <c r="K32" s="557">
        <f t="shared" si="0"/>
        <v>5805</v>
      </c>
      <c r="L32" s="557"/>
    </row>
    <row r="33" spans="1:19" ht="19.5" customHeight="1" x14ac:dyDescent="0.2">
      <c r="A33" s="556">
        <v>23</v>
      </c>
      <c r="B33" s="419" t="s">
        <v>912</v>
      </c>
      <c r="C33" s="557">
        <v>98863</v>
      </c>
      <c r="D33" s="558">
        <f>'[1]AT-8_Hon_CCH_Pry'!C21</f>
        <v>2251</v>
      </c>
      <c r="E33" s="559">
        <v>2050</v>
      </c>
      <c r="F33" s="558">
        <v>0</v>
      </c>
      <c r="G33" s="557">
        <v>70393</v>
      </c>
      <c r="H33" s="377">
        <v>1488</v>
      </c>
      <c r="I33" s="557">
        <v>1379</v>
      </c>
      <c r="J33" s="558">
        <v>0</v>
      </c>
      <c r="K33" s="557">
        <f t="shared" si="0"/>
        <v>3739</v>
      </c>
      <c r="L33" s="557"/>
    </row>
    <row r="34" spans="1:19" ht="19.5" customHeight="1" x14ac:dyDescent="0.2">
      <c r="A34" s="556">
        <v>24</v>
      </c>
      <c r="B34" s="419" t="s">
        <v>913</v>
      </c>
      <c r="C34" s="557">
        <v>110059</v>
      </c>
      <c r="D34" s="558">
        <f>'[1]AT-8_Hon_CCH_Pry'!C19</f>
        <v>3433</v>
      </c>
      <c r="E34" s="559">
        <v>3466</v>
      </c>
      <c r="F34" s="558">
        <v>0</v>
      </c>
      <c r="G34" s="557">
        <v>70749</v>
      </c>
      <c r="H34" s="377">
        <v>2005</v>
      </c>
      <c r="I34" s="557">
        <v>1806</v>
      </c>
      <c r="J34" s="558">
        <v>0</v>
      </c>
      <c r="K34" s="557">
        <f t="shared" si="0"/>
        <v>5438</v>
      </c>
      <c r="L34" s="557"/>
    </row>
    <row r="35" spans="1:19" ht="19.5" customHeight="1" x14ac:dyDescent="0.2">
      <c r="A35" s="556">
        <v>25</v>
      </c>
      <c r="B35" s="419" t="s">
        <v>919</v>
      </c>
      <c r="C35" s="557">
        <v>57841</v>
      </c>
      <c r="D35" s="558">
        <f>'[1]AT-8_Hon_CCH_Pry'!C16</f>
        <v>2288</v>
      </c>
      <c r="E35" s="559">
        <v>2278</v>
      </c>
      <c r="F35" s="558">
        <v>0</v>
      </c>
      <c r="G35" s="557">
        <v>33991</v>
      </c>
      <c r="H35" s="377">
        <v>1177</v>
      </c>
      <c r="I35" s="557">
        <v>1107</v>
      </c>
      <c r="J35" s="558">
        <v>0</v>
      </c>
      <c r="K35" s="557">
        <f t="shared" si="0"/>
        <v>3465</v>
      </c>
      <c r="L35" s="557"/>
    </row>
    <row r="36" spans="1:19" ht="19.5" customHeight="1" x14ac:dyDescent="0.2">
      <c r="A36" s="556">
        <v>26</v>
      </c>
      <c r="B36" s="419" t="s">
        <v>914</v>
      </c>
      <c r="C36" s="557">
        <v>29719</v>
      </c>
      <c r="D36" s="558">
        <f>'[1]AT-8_Hon_CCH_Pry'!C24</f>
        <v>1003</v>
      </c>
      <c r="E36" s="559">
        <v>1169</v>
      </c>
      <c r="F36" s="558">
        <v>0</v>
      </c>
      <c r="G36" s="557">
        <v>8462</v>
      </c>
      <c r="H36" s="377">
        <v>1104</v>
      </c>
      <c r="I36" s="557">
        <v>306</v>
      </c>
      <c r="J36" s="558">
        <v>0</v>
      </c>
      <c r="K36" s="557">
        <f t="shared" si="0"/>
        <v>2107</v>
      </c>
      <c r="L36" s="557"/>
    </row>
    <row r="37" spans="1:19" ht="19.5" customHeight="1" x14ac:dyDescent="0.2">
      <c r="A37" s="556">
        <v>27</v>
      </c>
      <c r="B37" s="419" t="s">
        <v>915</v>
      </c>
      <c r="C37" s="557">
        <v>61743</v>
      </c>
      <c r="D37" s="558">
        <f>'[1]AT-8_Hon_CCH_Pry'!C14</f>
        <v>2445</v>
      </c>
      <c r="E37" s="559">
        <v>2430</v>
      </c>
      <c r="F37" s="558">
        <v>0</v>
      </c>
      <c r="G37" s="557">
        <v>35895</v>
      </c>
      <c r="H37" s="377">
        <v>239</v>
      </c>
      <c r="I37" s="557">
        <v>1103</v>
      </c>
      <c r="J37" s="558">
        <v>0</v>
      </c>
      <c r="K37" s="557">
        <f t="shared" si="0"/>
        <v>2684</v>
      </c>
      <c r="L37" s="557"/>
    </row>
    <row r="38" spans="1:19" ht="15" x14ac:dyDescent="0.25">
      <c r="A38" s="273" t="s">
        <v>18</v>
      </c>
      <c r="B38" s="105"/>
      <c r="C38" s="557">
        <f>SUM(C11:C37)</f>
        <v>1808937</v>
      </c>
      <c r="D38" s="557">
        <f t="shared" ref="D38:K38" si="1">SUM(D11:D37)</f>
        <v>62056</v>
      </c>
      <c r="E38" s="557">
        <f t="shared" si="1"/>
        <v>57623</v>
      </c>
      <c r="F38" s="557">
        <f t="shared" si="1"/>
        <v>0</v>
      </c>
      <c r="G38" s="557">
        <f t="shared" si="1"/>
        <v>1100979</v>
      </c>
      <c r="H38" s="557">
        <f t="shared" si="1"/>
        <v>31364</v>
      </c>
      <c r="I38" s="557">
        <f t="shared" si="1"/>
        <v>29326</v>
      </c>
      <c r="J38" s="557">
        <f t="shared" si="1"/>
        <v>0</v>
      </c>
      <c r="K38" s="557">
        <f t="shared" si="1"/>
        <v>93420</v>
      </c>
      <c r="L38" s="557"/>
    </row>
    <row r="39" spans="1:19" ht="17.25" customHeight="1" x14ac:dyDescent="0.2">
      <c r="A39" s="1133" t="s">
        <v>112</v>
      </c>
      <c r="B39" s="1134"/>
      <c r="C39" s="1134"/>
      <c r="D39" s="1134"/>
      <c r="E39" s="1134"/>
      <c r="F39" s="1134"/>
      <c r="G39" s="1134"/>
      <c r="H39" s="1134"/>
      <c r="I39" s="1134"/>
      <c r="J39" s="1134"/>
      <c r="K39" s="1135"/>
      <c r="L39" s="1135"/>
    </row>
    <row r="41" spans="1:19" s="569" customFormat="1" ht="15.75" customHeight="1" x14ac:dyDescent="0.25">
      <c r="A41" s="36"/>
      <c r="B41" s="36"/>
      <c r="C41" s="565"/>
      <c r="D41" s="14"/>
      <c r="E41" s="14"/>
      <c r="H41" s="564"/>
      <c r="I41" s="564"/>
      <c r="J41" s="77"/>
      <c r="K41" s="563"/>
      <c r="L41" s="563"/>
      <c r="M41" s="36"/>
    </row>
    <row r="42" spans="1:19" s="569" customFormat="1" ht="13.15" customHeight="1" x14ac:dyDescent="0.2">
      <c r="H42" s="810" t="s">
        <v>13</v>
      </c>
      <c r="I42" s="810"/>
      <c r="J42" s="810"/>
      <c r="K42" s="810"/>
      <c r="L42" s="810"/>
      <c r="M42" s="36"/>
      <c r="N42" s="563"/>
      <c r="O42" s="563"/>
      <c r="P42" s="563"/>
      <c r="Q42" s="563"/>
      <c r="R42" s="563"/>
      <c r="S42" s="563"/>
    </row>
    <row r="43" spans="1:19" s="569" customFormat="1" ht="12.75" x14ac:dyDescent="0.2">
      <c r="H43" s="810" t="s">
        <v>14</v>
      </c>
      <c r="I43" s="810"/>
      <c r="J43" s="810"/>
      <c r="K43" s="810"/>
      <c r="L43" s="810"/>
      <c r="M43" s="36"/>
      <c r="N43" s="563"/>
      <c r="O43" s="563"/>
      <c r="P43" s="563"/>
      <c r="Q43" s="563"/>
      <c r="R43" s="563"/>
      <c r="S43" s="563"/>
    </row>
    <row r="44" spans="1:19" s="569" customFormat="1" ht="15" x14ac:dyDescent="0.25">
      <c r="B44" s="14"/>
      <c r="C44" s="14"/>
      <c r="D44" s="14"/>
      <c r="E44" s="14"/>
      <c r="H44" s="810" t="s">
        <v>918</v>
      </c>
      <c r="I44" s="810"/>
      <c r="J44" s="810"/>
      <c r="K44" s="810"/>
      <c r="L44" s="810"/>
      <c r="M44" s="77"/>
    </row>
    <row r="45" spans="1:19" ht="15" x14ac:dyDescent="0.25">
      <c r="A45" s="492" t="s">
        <v>12</v>
      </c>
      <c r="H45" s="657"/>
      <c r="I45" s="207" t="s">
        <v>82</v>
      </c>
      <c r="J45" s="207"/>
      <c r="K45" s="207"/>
      <c r="L45" s="207"/>
    </row>
  </sheetData>
  <mergeCells count="20">
    <mergeCell ref="K1:L1"/>
    <mergeCell ref="B2:J2"/>
    <mergeCell ref="B3:J3"/>
    <mergeCell ref="G7:J7"/>
    <mergeCell ref="B5:L5"/>
    <mergeCell ref="L7:L9"/>
    <mergeCell ref="B7:B9"/>
    <mergeCell ref="G8:G9"/>
    <mergeCell ref="K7:K9"/>
    <mergeCell ref="H8:H9"/>
    <mergeCell ref="I8:J8"/>
    <mergeCell ref="D8:D9"/>
    <mergeCell ref="E8:F8"/>
    <mergeCell ref="C8:C9"/>
    <mergeCell ref="C7:F7"/>
    <mergeCell ref="H42:L42"/>
    <mergeCell ref="H43:L43"/>
    <mergeCell ref="H44:L44"/>
    <mergeCell ref="A39:L39"/>
    <mergeCell ref="A7:A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  <pageSetUpPr fitToPage="1"/>
  </sheetPr>
  <dimension ref="A1:IO35"/>
  <sheetViews>
    <sheetView zoomScale="90" zoomScaleNormal="90" zoomScaleSheetLayoutView="85" workbookViewId="0">
      <selection activeCell="A33" sqref="A33"/>
    </sheetView>
  </sheetViews>
  <sheetFormatPr defaultRowHeight="12.75" x14ac:dyDescent="0.2"/>
  <cols>
    <col min="1" max="1" width="4.7109375" style="165" customWidth="1"/>
    <col min="2" max="2" width="33.28515625" style="165" customWidth="1"/>
    <col min="3" max="23" width="9.7109375" style="165" customWidth="1"/>
    <col min="24" max="16384" width="9.140625" style="165"/>
  </cols>
  <sheetData>
    <row r="1" spans="1:249" ht="15" x14ac:dyDescent="0.2">
      <c r="O1" s="1162" t="s">
        <v>547</v>
      </c>
      <c r="P1" s="1162"/>
      <c r="Q1" s="1162"/>
      <c r="R1" s="1162"/>
      <c r="S1" s="1162"/>
      <c r="T1" s="1162"/>
      <c r="U1" s="1162"/>
    </row>
    <row r="2" spans="1:249" ht="15.75" x14ac:dyDescent="0.25">
      <c r="G2" s="166"/>
      <c r="H2" s="166"/>
      <c r="I2" s="167"/>
      <c r="J2" s="166" t="s">
        <v>0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49" ht="15.75" x14ac:dyDescent="0.25">
      <c r="F3" s="166"/>
      <c r="G3" s="166"/>
      <c r="H3" s="166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49" ht="18" x14ac:dyDescent="0.25">
      <c r="B4" s="1163" t="s">
        <v>738</v>
      </c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</row>
    <row r="6" spans="1:249" ht="15.75" x14ac:dyDescent="0.25">
      <c r="B6" s="1164" t="s">
        <v>756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64"/>
      <c r="U6" s="1164"/>
    </row>
    <row r="8" spans="1:249" ht="15" x14ac:dyDescent="0.3">
      <c r="A8" s="197" t="s">
        <v>917</v>
      </c>
      <c r="B8" s="197" t="s">
        <v>916</v>
      </c>
    </row>
    <row r="9" spans="1:249" ht="18" x14ac:dyDescent="0.25">
      <c r="A9" s="168"/>
      <c r="B9" s="168"/>
      <c r="V9" s="1169" t="s">
        <v>245</v>
      </c>
      <c r="W9" s="1169"/>
    </row>
    <row r="10" spans="1:249" ht="12.75" customHeight="1" x14ac:dyDescent="0.2">
      <c r="A10" s="1148" t="s">
        <v>2</v>
      </c>
      <c r="B10" s="1148" t="s">
        <v>107</v>
      </c>
      <c r="C10" s="1150" t="s">
        <v>23</v>
      </c>
      <c r="D10" s="1151"/>
      <c r="E10" s="1151"/>
      <c r="F10" s="1151"/>
      <c r="G10" s="1151"/>
      <c r="H10" s="1151"/>
      <c r="I10" s="1151"/>
      <c r="J10" s="1151"/>
      <c r="K10" s="1152"/>
      <c r="L10" s="1150" t="s">
        <v>24</v>
      </c>
      <c r="M10" s="1151"/>
      <c r="N10" s="1151"/>
      <c r="O10" s="1151"/>
      <c r="P10" s="1151"/>
      <c r="Q10" s="1151"/>
      <c r="R10" s="1151"/>
      <c r="S10" s="1151"/>
      <c r="T10" s="1152"/>
      <c r="U10" s="1153" t="s">
        <v>137</v>
      </c>
      <c r="V10" s="1154"/>
      <c r="W10" s="1155"/>
      <c r="X10" s="170"/>
      <c r="Y10" s="170"/>
      <c r="Z10" s="170"/>
      <c r="AA10" s="170"/>
      <c r="AB10" s="170"/>
      <c r="AC10" s="171"/>
      <c r="AD10" s="172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</row>
    <row r="11" spans="1:249" ht="12.75" customHeight="1" x14ac:dyDescent="0.2">
      <c r="A11" s="1149"/>
      <c r="B11" s="1149"/>
      <c r="C11" s="1159" t="s">
        <v>172</v>
      </c>
      <c r="D11" s="1160"/>
      <c r="E11" s="1161"/>
      <c r="F11" s="1159" t="s">
        <v>173</v>
      </c>
      <c r="G11" s="1160"/>
      <c r="H11" s="1161"/>
      <c r="I11" s="1159" t="s">
        <v>18</v>
      </c>
      <c r="J11" s="1160"/>
      <c r="K11" s="1161"/>
      <c r="L11" s="1159" t="s">
        <v>172</v>
      </c>
      <c r="M11" s="1160"/>
      <c r="N11" s="1161"/>
      <c r="O11" s="1159" t="s">
        <v>173</v>
      </c>
      <c r="P11" s="1160"/>
      <c r="Q11" s="1161"/>
      <c r="R11" s="1159" t="s">
        <v>18</v>
      </c>
      <c r="S11" s="1160"/>
      <c r="T11" s="1161"/>
      <c r="U11" s="1156"/>
      <c r="V11" s="1157"/>
      <c r="W11" s="1158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</row>
    <row r="12" spans="1:249" x14ac:dyDescent="0.2">
      <c r="A12" s="169"/>
      <c r="B12" s="169"/>
      <c r="C12" s="173" t="s">
        <v>246</v>
      </c>
      <c r="D12" s="174" t="s">
        <v>41</v>
      </c>
      <c r="E12" s="175" t="s">
        <v>42</v>
      </c>
      <c r="F12" s="173" t="s">
        <v>246</v>
      </c>
      <c r="G12" s="174" t="s">
        <v>41</v>
      </c>
      <c r="H12" s="175" t="s">
        <v>42</v>
      </c>
      <c r="I12" s="173" t="s">
        <v>246</v>
      </c>
      <c r="J12" s="174" t="s">
        <v>41</v>
      </c>
      <c r="K12" s="175" t="s">
        <v>42</v>
      </c>
      <c r="L12" s="173" t="s">
        <v>246</v>
      </c>
      <c r="M12" s="174" t="s">
        <v>41</v>
      </c>
      <c r="N12" s="175" t="s">
        <v>42</v>
      </c>
      <c r="O12" s="173" t="s">
        <v>246</v>
      </c>
      <c r="P12" s="174" t="s">
        <v>41</v>
      </c>
      <c r="Q12" s="175" t="s">
        <v>42</v>
      </c>
      <c r="R12" s="173" t="s">
        <v>246</v>
      </c>
      <c r="S12" s="174" t="s">
        <v>41</v>
      </c>
      <c r="T12" s="175" t="s">
        <v>42</v>
      </c>
      <c r="U12" s="169" t="s">
        <v>246</v>
      </c>
      <c r="V12" s="169" t="s">
        <v>41</v>
      </c>
      <c r="W12" s="169" t="s">
        <v>42</v>
      </c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</row>
    <row r="13" spans="1:249" x14ac:dyDescent="0.2">
      <c r="A13" s="169">
        <v>1</v>
      </c>
      <c r="B13" s="169">
        <v>2</v>
      </c>
      <c r="C13" s="169">
        <v>3</v>
      </c>
      <c r="D13" s="169">
        <v>4</v>
      </c>
      <c r="E13" s="169">
        <v>5</v>
      </c>
      <c r="F13" s="169">
        <v>7</v>
      </c>
      <c r="G13" s="169">
        <v>8</v>
      </c>
      <c r="H13" s="169">
        <v>9</v>
      </c>
      <c r="I13" s="169">
        <v>11</v>
      </c>
      <c r="J13" s="169">
        <v>12</v>
      </c>
      <c r="K13" s="169">
        <v>13</v>
      </c>
      <c r="L13" s="169">
        <v>15</v>
      </c>
      <c r="M13" s="169">
        <v>16</v>
      </c>
      <c r="N13" s="169">
        <v>17</v>
      </c>
      <c r="O13" s="169">
        <v>19</v>
      </c>
      <c r="P13" s="169">
        <v>20</v>
      </c>
      <c r="Q13" s="169">
        <v>21</v>
      </c>
      <c r="R13" s="169">
        <v>23</v>
      </c>
      <c r="S13" s="169">
        <v>24</v>
      </c>
      <c r="T13" s="169">
        <v>25</v>
      </c>
      <c r="U13" s="169">
        <v>27</v>
      </c>
      <c r="V13" s="169">
        <v>28</v>
      </c>
      <c r="W13" s="169">
        <v>29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</row>
    <row r="14" spans="1:249" ht="12.75" customHeight="1" x14ac:dyDescent="0.2">
      <c r="A14" s="1167" t="s">
        <v>238</v>
      </c>
      <c r="B14" s="1168"/>
      <c r="C14" s="169"/>
      <c r="D14" s="169"/>
      <c r="E14" s="169"/>
      <c r="F14" s="169"/>
      <c r="G14" s="169"/>
      <c r="H14" s="169"/>
      <c r="L14" s="169"/>
      <c r="M14" s="169"/>
      <c r="N14" s="169"/>
      <c r="O14" s="169"/>
      <c r="P14" s="169"/>
      <c r="Q14" s="169"/>
      <c r="R14" s="169"/>
      <c r="S14" s="169"/>
      <c r="T14" s="169"/>
      <c r="U14" s="177"/>
      <c r="V14" s="178"/>
      <c r="W14" s="178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</row>
    <row r="15" spans="1:249" x14ac:dyDescent="0.2">
      <c r="A15" s="179">
        <v>1</v>
      </c>
      <c r="B15" s="180" t="s">
        <v>122</v>
      </c>
      <c r="C15" s="631">
        <f t="shared" ref="C15:E19" si="0">I15*60%</f>
        <v>480</v>
      </c>
      <c r="D15" s="631">
        <f t="shared" si="0"/>
        <v>115.19999999999999</v>
      </c>
      <c r="E15" s="631">
        <f t="shared" si="0"/>
        <v>364.8</v>
      </c>
      <c r="F15" s="631">
        <f t="shared" ref="F15:H19" si="1">I15*40%</f>
        <v>320</v>
      </c>
      <c r="G15" s="631">
        <f t="shared" si="1"/>
        <v>76.800000000000011</v>
      </c>
      <c r="H15" s="631">
        <f t="shared" si="1"/>
        <v>243.20000000000002</v>
      </c>
      <c r="I15" s="632">
        <v>800</v>
      </c>
      <c r="J15" s="632">
        <v>192</v>
      </c>
      <c r="K15" s="632">
        <v>608</v>
      </c>
      <c r="L15" s="631">
        <f t="shared" ref="L15:N19" si="2">R15*60%</f>
        <v>420</v>
      </c>
      <c r="M15" s="631">
        <f t="shared" si="2"/>
        <v>100.8</v>
      </c>
      <c r="N15" s="631">
        <f t="shared" si="2"/>
        <v>319.2</v>
      </c>
      <c r="O15" s="631">
        <f t="shared" ref="O15:Q19" si="3">R15*40%</f>
        <v>280</v>
      </c>
      <c r="P15" s="631">
        <f t="shared" si="3"/>
        <v>67.2</v>
      </c>
      <c r="Q15" s="631">
        <f t="shared" si="3"/>
        <v>212.8</v>
      </c>
      <c r="R15" s="631">
        <v>700</v>
      </c>
      <c r="S15" s="631">
        <v>168</v>
      </c>
      <c r="T15" s="631">
        <v>532</v>
      </c>
      <c r="U15" s="631">
        <f t="shared" ref="U15:W19" si="4">I15+R15</f>
        <v>1500</v>
      </c>
      <c r="V15" s="631">
        <f t="shared" si="4"/>
        <v>360</v>
      </c>
      <c r="W15" s="631">
        <f t="shared" si="4"/>
        <v>1140</v>
      </c>
    </row>
    <row r="16" spans="1:249" x14ac:dyDescent="0.2">
      <c r="A16" s="179">
        <v>2</v>
      </c>
      <c r="B16" s="182" t="s">
        <v>475</v>
      </c>
      <c r="C16" s="631">
        <f t="shared" si="0"/>
        <v>7164</v>
      </c>
      <c r="D16" s="631">
        <f t="shared" si="0"/>
        <v>1719.36</v>
      </c>
      <c r="E16" s="631">
        <f t="shared" si="0"/>
        <v>5444.6399999999994</v>
      </c>
      <c r="F16" s="631">
        <f t="shared" si="1"/>
        <v>4776</v>
      </c>
      <c r="G16" s="631">
        <f t="shared" si="1"/>
        <v>1146.24</v>
      </c>
      <c r="H16" s="631">
        <f t="shared" si="1"/>
        <v>3629.76</v>
      </c>
      <c r="I16" s="633">
        <v>11940</v>
      </c>
      <c r="J16" s="633">
        <v>2865.6</v>
      </c>
      <c r="K16" s="633">
        <v>9074.4</v>
      </c>
      <c r="L16" s="631">
        <f t="shared" si="2"/>
        <v>5734.0109999999995</v>
      </c>
      <c r="M16" s="631">
        <f t="shared" si="2"/>
        <v>1376.1626399999998</v>
      </c>
      <c r="N16" s="631">
        <f t="shared" si="2"/>
        <v>4357.848359999999</v>
      </c>
      <c r="O16" s="631">
        <f t="shared" si="3"/>
        <v>3822.674</v>
      </c>
      <c r="P16" s="631">
        <f t="shared" si="3"/>
        <v>917.44175999999993</v>
      </c>
      <c r="Q16" s="631">
        <f t="shared" si="3"/>
        <v>2905.2322399999998</v>
      </c>
      <c r="R16" s="631">
        <v>9556.6849999999995</v>
      </c>
      <c r="S16" s="631">
        <v>2293.6043999999997</v>
      </c>
      <c r="T16" s="631">
        <v>7263.0805999999993</v>
      </c>
      <c r="U16" s="631">
        <f t="shared" si="4"/>
        <v>21496.684999999998</v>
      </c>
      <c r="V16" s="631">
        <f t="shared" si="4"/>
        <v>5159.2043999999996</v>
      </c>
      <c r="W16" s="631">
        <f t="shared" si="4"/>
        <v>16337.480599999999</v>
      </c>
    </row>
    <row r="17" spans="1:23" ht="15" customHeight="1" x14ac:dyDescent="0.2">
      <c r="A17" s="179">
        <v>3</v>
      </c>
      <c r="B17" s="182" t="s">
        <v>126</v>
      </c>
      <c r="C17" s="631">
        <f t="shared" si="0"/>
        <v>2797.2</v>
      </c>
      <c r="D17" s="631">
        <f t="shared" si="0"/>
        <v>671.32799999999986</v>
      </c>
      <c r="E17" s="631">
        <f t="shared" si="0"/>
        <v>2125.8719999999998</v>
      </c>
      <c r="F17" s="631">
        <f t="shared" si="1"/>
        <v>1864.8000000000002</v>
      </c>
      <c r="G17" s="631">
        <f t="shared" si="1"/>
        <v>447.55199999999996</v>
      </c>
      <c r="H17" s="631">
        <f t="shared" si="1"/>
        <v>1417.248</v>
      </c>
      <c r="I17" s="633">
        <v>4662</v>
      </c>
      <c r="J17" s="633">
        <v>1118.8799999999999</v>
      </c>
      <c r="K17" s="633">
        <v>3543.12</v>
      </c>
      <c r="L17" s="631">
        <f t="shared" si="2"/>
        <v>1481.5949999999998</v>
      </c>
      <c r="M17" s="631">
        <f t="shared" si="2"/>
        <v>355.58279999999996</v>
      </c>
      <c r="N17" s="631">
        <f t="shared" si="2"/>
        <v>1126.0121999999999</v>
      </c>
      <c r="O17" s="631">
        <f t="shared" si="3"/>
        <v>987.73</v>
      </c>
      <c r="P17" s="631">
        <f t="shared" si="3"/>
        <v>237.05519999999999</v>
      </c>
      <c r="Q17" s="631">
        <f t="shared" si="3"/>
        <v>750.6748</v>
      </c>
      <c r="R17" s="631">
        <v>2469.3249999999998</v>
      </c>
      <c r="S17" s="631">
        <v>592.63799999999992</v>
      </c>
      <c r="T17" s="631">
        <v>1876.6869999999999</v>
      </c>
      <c r="U17" s="631">
        <f t="shared" si="4"/>
        <v>7131.3249999999998</v>
      </c>
      <c r="V17" s="631">
        <f t="shared" si="4"/>
        <v>1711.5179999999998</v>
      </c>
      <c r="W17" s="631">
        <f t="shared" si="4"/>
        <v>5419.8069999999998</v>
      </c>
    </row>
    <row r="18" spans="1:23" ht="12.6" customHeight="1" x14ac:dyDescent="0.2">
      <c r="A18" s="179">
        <v>4</v>
      </c>
      <c r="B18" s="182" t="s">
        <v>124</v>
      </c>
      <c r="C18" s="631">
        <f t="shared" si="0"/>
        <v>162.79499999999999</v>
      </c>
      <c r="D18" s="631">
        <f t="shared" si="0"/>
        <v>39.070799999999998</v>
      </c>
      <c r="E18" s="631">
        <f t="shared" si="0"/>
        <v>123.7242</v>
      </c>
      <c r="F18" s="631">
        <f t="shared" si="1"/>
        <v>108.53</v>
      </c>
      <c r="G18" s="631">
        <f t="shared" si="1"/>
        <v>26.0472</v>
      </c>
      <c r="H18" s="631">
        <f t="shared" si="1"/>
        <v>82.482799999999997</v>
      </c>
      <c r="I18" s="633">
        <v>271.32499999999999</v>
      </c>
      <c r="J18" s="633">
        <v>65.117999999999995</v>
      </c>
      <c r="K18" s="633">
        <v>206.20699999999999</v>
      </c>
      <c r="L18" s="631">
        <f t="shared" si="2"/>
        <v>159</v>
      </c>
      <c r="M18" s="631">
        <f t="shared" si="2"/>
        <v>38.159999999999997</v>
      </c>
      <c r="N18" s="631">
        <f t="shared" si="2"/>
        <v>120.84</v>
      </c>
      <c r="O18" s="631">
        <f t="shared" si="3"/>
        <v>106</v>
      </c>
      <c r="P18" s="631">
        <f t="shared" si="3"/>
        <v>25.439999999999998</v>
      </c>
      <c r="Q18" s="631">
        <f t="shared" si="3"/>
        <v>80.56</v>
      </c>
      <c r="R18" s="631">
        <v>265</v>
      </c>
      <c r="S18" s="631">
        <v>63.599999999999994</v>
      </c>
      <c r="T18" s="631">
        <v>201.4</v>
      </c>
      <c r="U18" s="631">
        <f t="shared" si="4"/>
        <v>536.32500000000005</v>
      </c>
      <c r="V18" s="631">
        <f t="shared" si="4"/>
        <v>128.71799999999999</v>
      </c>
      <c r="W18" s="631">
        <f t="shared" si="4"/>
        <v>407.60699999999997</v>
      </c>
    </row>
    <row r="19" spans="1:23" x14ac:dyDescent="0.2">
      <c r="A19" s="179">
        <v>5</v>
      </c>
      <c r="B19" s="180" t="s">
        <v>125</v>
      </c>
      <c r="C19" s="631">
        <f t="shared" si="0"/>
        <v>153</v>
      </c>
      <c r="D19" s="631">
        <f t="shared" si="0"/>
        <v>36.72</v>
      </c>
      <c r="E19" s="631">
        <f t="shared" si="0"/>
        <v>116.28</v>
      </c>
      <c r="F19" s="631">
        <f t="shared" si="1"/>
        <v>102</v>
      </c>
      <c r="G19" s="631">
        <f t="shared" si="1"/>
        <v>24.48</v>
      </c>
      <c r="H19" s="631">
        <f t="shared" si="1"/>
        <v>77.52000000000001</v>
      </c>
      <c r="I19" s="633">
        <v>255</v>
      </c>
      <c r="J19" s="633">
        <v>61.199999999999996</v>
      </c>
      <c r="K19" s="633">
        <v>193.8</v>
      </c>
      <c r="L19" s="631">
        <f t="shared" si="2"/>
        <v>109.5</v>
      </c>
      <c r="M19" s="631">
        <f t="shared" si="2"/>
        <v>26.279999999999998</v>
      </c>
      <c r="N19" s="631">
        <f t="shared" si="2"/>
        <v>83.219999999999985</v>
      </c>
      <c r="O19" s="631">
        <f t="shared" si="3"/>
        <v>73</v>
      </c>
      <c r="P19" s="631">
        <f t="shared" si="3"/>
        <v>17.52</v>
      </c>
      <c r="Q19" s="631">
        <f t="shared" si="3"/>
        <v>55.48</v>
      </c>
      <c r="R19" s="631">
        <v>182.5</v>
      </c>
      <c r="S19" s="631">
        <v>43.8</v>
      </c>
      <c r="T19" s="631">
        <v>138.69999999999999</v>
      </c>
      <c r="U19" s="631">
        <f t="shared" si="4"/>
        <v>437.5</v>
      </c>
      <c r="V19" s="631">
        <f t="shared" si="4"/>
        <v>105</v>
      </c>
      <c r="W19" s="631">
        <f t="shared" si="4"/>
        <v>332.5</v>
      </c>
    </row>
    <row r="20" spans="1:23" ht="12.75" customHeight="1" x14ac:dyDescent="0.2">
      <c r="A20" s="1167" t="s">
        <v>239</v>
      </c>
      <c r="B20" s="1168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1:23" x14ac:dyDescent="0.2">
      <c r="A21" s="179">
        <v>6</v>
      </c>
      <c r="B21" s="180" t="s">
        <v>127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23" x14ac:dyDescent="0.2">
      <c r="A22" s="179">
        <v>7</v>
      </c>
      <c r="B22" s="180" t="s">
        <v>128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</row>
    <row r="23" spans="1:23" x14ac:dyDescent="0.2">
      <c r="A23" s="179">
        <v>8</v>
      </c>
      <c r="B23" s="180" t="s">
        <v>700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</row>
    <row r="24" spans="1:23" x14ac:dyDescent="0.2">
      <c r="A24" s="179"/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1:23" x14ac:dyDescent="0.2">
      <c r="A25" s="1165" t="s">
        <v>18</v>
      </c>
      <c r="B25" s="1166"/>
      <c r="C25" s="631">
        <f>SUM(C15:C24)</f>
        <v>10756.995000000001</v>
      </c>
      <c r="D25" s="631">
        <f t="shared" ref="D25:Q25" si="5">SUM(D15:D24)</f>
        <v>2581.6787999999997</v>
      </c>
      <c r="E25" s="631">
        <f t="shared" si="5"/>
        <v>8175.3161999999993</v>
      </c>
      <c r="F25" s="631">
        <f t="shared" si="5"/>
        <v>7171.33</v>
      </c>
      <c r="G25" s="631">
        <f t="shared" si="5"/>
        <v>1721.1191999999999</v>
      </c>
      <c r="H25" s="631">
        <f t="shared" si="5"/>
        <v>5450.2108000000007</v>
      </c>
      <c r="I25" s="631">
        <f t="shared" si="5"/>
        <v>17928.325000000001</v>
      </c>
      <c r="J25" s="631">
        <f t="shared" si="5"/>
        <v>4302.7979999999998</v>
      </c>
      <c r="K25" s="631">
        <f t="shared" si="5"/>
        <v>13625.527</v>
      </c>
      <c r="L25" s="631">
        <f t="shared" si="5"/>
        <v>7904.1059999999998</v>
      </c>
      <c r="M25" s="631">
        <f t="shared" si="5"/>
        <v>1896.9854399999997</v>
      </c>
      <c r="N25" s="631">
        <f t="shared" si="5"/>
        <v>6007.1205599999994</v>
      </c>
      <c r="O25" s="631">
        <f t="shared" si="5"/>
        <v>5269.4040000000005</v>
      </c>
      <c r="P25" s="631">
        <f t="shared" si="5"/>
        <v>1264.65696</v>
      </c>
      <c r="Q25" s="631">
        <f t="shared" si="5"/>
        <v>4004.7470400000002</v>
      </c>
      <c r="R25" s="631">
        <f t="shared" ref="R25:W25" si="6">SUM(R15:R24)</f>
        <v>13173.509999999998</v>
      </c>
      <c r="S25" s="631">
        <f t="shared" si="6"/>
        <v>3161.6423999999997</v>
      </c>
      <c r="T25" s="631">
        <f t="shared" si="6"/>
        <v>10011.8676</v>
      </c>
      <c r="U25" s="631">
        <f t="shared" si="6"/>
        <v>31101.834999999999</v>
      </c>
      <c r="V25" s="631">
        <f t="shared" si="6"/>
        <v>7464.4403999999995</v>
      </c>
      <c r="W25" s="631">
        <f t="shared" si="6"/>
        <v>23637.3946</v>
      </c>
    </row>
    <row r="26" spans="1:23" x14ac:dyDescent="0.2">
      <c r="A26" s="183"/>
      <c r="B26" s="183"/>
    </row>
    <row r="28" spans="1:23" x14ac:dyDescent="0.2">
      <c r="B28" s="165" t="s">
        <v>11</v>
      </c>
    </row>
    <row r="30" spans="1:23" ht="15" customHeight="1" x14ac:dyDescent="0.2">
      <c r="A30" s="651"/>
      <c r="B30" s="651"/>
      <c r="C30" s="651"/>
      <c r="D30" s="651"/>
      <c r="E30" s="651"/>
      <c r="F30" s="651"/>
      <c r="G30" s="651"/>
      <c r="H30" s="651"/>
      <c r="I30" s="651"/>
      <c r="J30" s="570"/>
      <c r="K30" s="570"/>
      <c r="L30" s="570"/>
      <c r="M30" s="570"/>
      <c r="N30" s="570"/>
      <c r="O30" s="651"/>
      <c r="P30" s="651"/>
      <c r="Q30" s="651"/>
      <c r="R30" s="651"/>
      <c r="S30" s="810" t="s">
        <v>13</v>
      </c>
      <c r="T30" s="810"/>
      <c r="U30" s="810"/>
      <c r="V30" s="810"/>
      <c r="W30" s="810"/>
    </row>
    <row r="31" spans="1:23" x14ac:dyDescent="0.2">
      <c r="S31" s="810" t="s">
        <v>14</v>
      </c>
      <c r="T31" s="810"/>
      <c r="U31" s="810"/>
      <c r="V31" s="810"/>
      <c r="W31" s="810"/>
    </row>
    <row r="32" spans="1:23" ht="15.75" x14ac:dyDescent="0.2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R32" s="652"/>
      <c r="S32" s="810" t="s">
        <v>918</v>
      </c>
      <c r="T32" s="810"/>
      <c r="U32" s="810"/>
      <c r="V32" s="810"/>
      <c r="W32" s="810"/>
    </row>
    <row r="33" spans="1:23" ht="15.75" x14ac:dyDescent="0.25">
      <c r="A33" s="492" t="s">
        <v>12</v>
      </c>
      <c r="B33" s="652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7"/>
      <c r="T33" s="207" t="s">
        <v>82</v>
      </c>
      <c r="U33" s="207"/>
      <c r="V33" s="207"/>
      <c r="W33" s="207"/>
    </row>
    <row r="34" spans="1:23" ht="15.75" x14ac:dyDescent="0.2">
      <c r="A34" s="652"/>
      <c r="B34" s="652"/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</row>
    <row r="35" spans="1:23" x14ac:dyDescent="0.2">
      <c r="R35" s="650"/>
      <c r="S35" s="650"/>
      <c r="T35" s="650"/>
      <c r="U35" s="650"/>
      <c r="V35" s="650"/>
      <c r="W35" s="650"/>
    </row>
  </sheetData>
  <mergeCells count="21">
    <mergeCell ref="S30:W30"/>
    <mergeCell ref="S31:W31"/>
    <mergeCell ref="S32:W32"/>
    <mergeCell ref="O1:U1"/>
    <mergeCell ref="B4:U4"/>
    <mergeCell ref="B6:U6"/>
    <mergeCell ref="C11:E11"/>
    <mergeCell ref="F11:H11"/>
    <mergeCell ref="I11:K11"/>
    <mergeCell ref="L11:N11"/>
    <mergeCell ref="A25:B25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  <pageSetUpPr fitToPage="1"/>
  </sheetPr>
  <dimension ref="A1:P41"/>
  <sheetViews>
    <sheetView zoomScaleSheetLayoutView="115" workbookViewId="0">
      <selection activeCell="C16" sqref="C16"/>
    </sheetView>
  </sheetViews>
  <sheetFormatPr defaultRowHeight="12.75" x14ac:dyDescent="0.2"/>
  <cols>
    <col min="1" max="1" width="7.42578125" style="156" customWidth="1"/>
    <col min="2" max="2" width="17.140625" style="156" customWidth="1"/>
    <col min="3" max="3" width="11" style="156" customWidth="1"/>
    <col min="4" max="4" width="10" style="156" customWidth="1"/>
    <col min="5" max="5" width="11.85546875" style="156" customWidth="1"/>
    <col min="6" max="6" width="12.140625" style="156" customWidth="1"/>
    <col min="7" max="7" width="13.28515625" style="156" customWidth="1"/>
    <col min="8" max="8" width="14.5703125" style="156" customWidth="1"/>
    <col min="9" max="9" width="12.7109375" style="156" customWidth="1"/>
    <col min="10" max="10" width="14" style="156" customWidth="1"/>
    <col min="11" max="11" width="10.85546875" style="156" customWidth="1"/>
    <col min="12" max="12" width="11.5703125" style="156" customWidth="1"/>
    <col min="13" max="16384" width="9.140625" style="156"/>
  </cols>
  <sheetData>
    <row r="1" spans="1:16" s="87" customFormat="1" x14ac:dyDescent="0.2">
      <c r="E1" s="1170"/>
      <c r="F1" s="1170"/>
      <c r="G1" s="1170"/>
      <c r="H1" s="1170"/>
      <c r="I1" s="1170"/>
      <c r="J1" s="291" t="s">
        <v>666</v>
      </c>
    </row>
    <row r="2" spans="1:16" s="87" customFormat="1" ht="15" x14ac:dyDescent="0.2">
      <c r="A2" s="1171" t="s">
        <v>0</v>
      </c>
      <c r="B2" s="1171"/>
      <c r="C2" s="1171"/>
      <c r="D2" s="1171"/>
      <c r="E2" s="1171"/>
      <c r="F2" s="1171"/>
      <c r="G2" s="1171"/>
      <c r="H2" s="1171"/>
      <c r="I2" s="1171"/>
      <c r="J2" s="1171"/>
    </row>
    <row r="3" spans="1:16" s="87" customFormat="1" ht="20.25" x14ac:dyDescent="0.3">
      <c r="A3" s="900" t="s">
        <v>738</v>
      </c>
      <c r="B3" s="900"/>
      <c r="C3" s="900"/>
      <c r="D3" s="900"/>
      <c r="E3" s="900"/>
      <c r="F3" s="900"/>
      <c r="G3" s="900"/>
      <c r="H3" s="900"/>
      <c r="I3" s="900"/>
      <c r="J3" s="900"/>
    </row>
    <row r="4" spans="1:16" s="87" customFormat="1" ht="14.25" customHeight="1" x14ac:dyDescent="0.2"/>
    <row r="5" spans="1:16" ht="19.5" customHeight="1" x14ac:dyDescent="0.25">
      <c r="A5" s="1172" t="s">
        <v>816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</row>
    <row r="6" spans="1:16" ht="13.5" customHeight="1" x14ac:dyDescent="0.2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6" ht="0.75" customHeight="1" x14ac:dyDescent="0.2"/>
    <row r="8" spans="1:16" ht="15" x14ac:dyDescent="0.3">
      <c r="A8" s="197" t="s">
        <v>917</v>
      </c>
      <c r="B8" s="197" t="s">
        <v>916</v>
      </c>
      <c r="C8" s="293"/>
      <c r="H8" s="913"/>
      <c r="I8" s="913"/>
      <c r="J8" s="913"/>
      <c r="K8" s="913"/>
      <c r="L8" s="913"/>
    </row>
    <row r="9" spans="1:16" ht="18" customHeight="1" x14ac:dyDescent="0.2">
      <c r="A9" s="1051" t="s">
        <v>2</v>
      </c>
      <c r="B9" s="1051" t="s">
        <v>35</v>
      </c>
      <c r="C9" s="1174" t="s">
        <v>667</v>
      </c>
      <c r="D9" s="1174"/>
      <c r="E9" s="1174" t="s">
        <v>123</v>
      </c>
      <c r="F9" s="1174"/>
      <c r="G9" s="1174" t="s">
        <v>668</v>
      </c>
      <c r="H9" s="1174"/>
      <c r="I9" s="1174" t="s">
        <v>124</v>
      </c>
      <c r="J9" s="1174"/>
      <c r="K9" s="1174" t="s">
        <v>125</v>
      </c>
      <c r="L9" s="1174"/>
      <c r="O9" s="294"/>
      <c r="P9" s="295"/>
    </row>
    <row r="10" spans="1:16" ht="44.25" customHeight="1" x14ac:dyDescent="0.2">
      <c r="A10" s="1051"/>
      <c r="B10" s="1051"/>
      <c r="C10" s="92" t="s">
        <v>669</v>
      </c>
      <c r="D10" s="92" t="s">
        <v>670</v>
      </c>
      <c r="E10" s="92" t="s">
        <v>671</v>
      </c>
      <c r="F10" s="92" t="s">
        <v>672</v>
      </c>
      <c r="G10" s="92" t="s">
        <v>671</v>
      </c>
      <c r="H10" s="92" t="s">
        <v>672</v>
      </c>
      <c r="I10" s="92" t="s">
        <v>669</v>
      </c>
      <c r="J10" s="92" t="s">
        <v>670</v>
      </c>
      <c r="K10" s="92" t="s">
        <v>669</v>
      </c>
      <c r="L10" s="92" t="s">
        <v>670</v>
      </c>
    </row>
    <row r="11" spans="1:16" x14ac:dyDescent="0.2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</row>
    <row r="12" spans="1:16" x14ac:dyDescent="0.2">
      <c r="A12" s="296">
        <v>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</row>
    <row r="13" spans="1:16" x14ac:dyDescent="0.2">
      <c r="A13" s="296">
        <v>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</row>
    <row r="14" spans="1:16" x14ac:dyDescent="0.2">
      <c r="A14" s="296">
        <v>3</v>
      </c>
      <c r="B14" s="294"/>
      <c r="C14" s="294"/>
      <c r="D14" s="294"/>
      <c r="E14" s="294" t="s">
        <v>11</v>
      </c>
      <c r="F14" s="294"/>
      <c r="G14" s="294"/>
      <c r="H14" s="294"/>
      <c r="I14" s="294"/>
      <c r="J14" s="294"/>
      <c r="K14" s="294"/>
      <c r="L14" s="294"/>
    </row>
    <row r="15" spans="1:16" x14ac:dyDescent="0.2">
      <c r="A15" s="296">
        <v>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</row>
    <row r="16" spans="1:16" x14ac:dyDescent="0.2">
      <c r="A16" s="296">
        <v>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</row>
    <row r="17" spans="1:12" x14ac:dyDescent="0.2">
      <c r="A17" s="296">
        <v>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</row>
    <row r="18" spans="1:12" x14ac:dyDescent="0.2">
      <c r="A18" s="296">
        <v>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</row>
    <row r="19" spans="1:12" x14ac:dyDescent="0.2">
      <c r="A19" s="296">
        <v>8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</row>
    <row r="20" spans="1:12" x14ac:dyDescent="0.2">
      <c r="A20" s="296">
        <v>9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</row>
    <row r="21" spans="1:12" x14ac:dyDescent="0.2">
      <c r="A21" s="296">
        <v>10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</row>
    <row r="22" spans="1:12" x14ac:dyDescent="0.2">
      <c r="A22" s="296">
        <v>11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</row>
    <row r="23" spans="1:12" x14ac:dyDescent="0.2">
      <c r="A23" s="296">
        <v>12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</row>
    <row r="24" spans="1:12" x14ac:dyDescent="0.2">
      <c r="A24" s="296">
        <v>13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</row>
    <row r="25" spans="1:12" x14ac:dyDescent="0.2">
      <c r="A25" s="296">
        <v>14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</row>
    <row r="26" spans="1:12" x14ac:dyDescent="0.2">
      <c r="A26" s="297" t="s">
        <v>7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</row>
    <row r="27" spans="1:12" x14ac:dyDescent="0.2">
      <c r="A27" s="297" t="s">
        <v>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</row>
    <row r="28" spans="1:12" x14ac:dyDescent="0.2">
      <c r="A28" s="91" t="s">
        <v>18</v>
      </c>
      <c r="B28" s="298"/>
      <c r="C28" s="298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2" x14ac:dyDescent="0.2">
      <c r="A29" s="95"/>
      <c r="B29" s="115"/>
      <c r="C29" s="115"/>
      <c r="D29" s="295"/>
      <c r="E29" s="295"/>
      <c r="F29" s="295"/>
      <c r="G29" s="295"/>
      <c r="H29" s="295"/>
      <c r="I29" s="295"/>
      <c r="J29" s="295"/>
    </row>
    <row r="30" spans="1:12" x14ac:dyDescent="0.2">
      <c r="A30" s="95"/>
      <c r="B30" s="115"/>
      <c r="C30" s="115"/>
      <c r="D30" s="295"/>
      <c r="E30" s="295"/>
      <c r="F30" s="295"/>
      <c r="G30" s="295"/>
      <c r="H30" s="295"/>
      <c r="I30" s="295"/>
      <c r="J30" s="295"/>
    </row>
    <row r="31" spans="1:12" s="572" customFormat="1" x14ac:dyDescent="0.2">
      <c r="A31" s="95"/>
      <c r="B31" s="115"/>
      <c r="C31" s="115"/>
      <c r="D31" s="295"/>
      <c r="E31" s="295"/>
      <c r="F31" s="295"/>
      <c r="G31" s="295"/>
      <c r="H31" s="295"/>
      <c r="I31" s="295"/>
      <c r="J31" s="295"/>
    </row>
    <row r="32" spans="1:12" s="572" customFormat="1" ht="15.75" customHeight="1" x14ac:dyDescent="0.2">
      <c r="A32" s="97"/>
      <c r="B32" s="97"/>
      <c r="C32" s="97"/>
      <c r="D32" s="97"/>
      <c r="E32" s="97"/>
      <c r="F32" s="97"/>
      <c r="G32" s="97"/>
      <c r="H32" s="810" t="s">
        <v>13</v>
      </c>
      <c r="I32" s="810"/>
      <c r="J32" s="810"/>
      <c r="K32" s="810"/>
      <c r="L32" s="810"/>
    </row>
    <row r="33" spans="1:12" s="572" customFormat="1" ht="12.75" customHeight="1" x14ac:dyDescent="0.2">
      <c r="A33" s="653"/>
      <c r="B33" s="653"/>
      <c r="C33" s="653"/>
      <c r="D33" s="653"/>
      <c r="E33" s="653"/>
      <c r="F33" s="653"/>
      <c r="G33" s="653"/>
      <c r="H33" s="810" t="s">
        <v>14</v>
      </c>
      <c r="I33" s="810"/>
      <c r="J33" s="810"/>
      <c r="K33" s="810"/>
      <c r="L33" s="810"/>
    </row>
    <row r="34" spans="1:12" s="572" customFormat="1" ht="12.75" customHeight="1" x14ac:dyDescent="0.2">
      <c r="A34" s="571"/>
      <c r="B34" s="571"/>
      <c r="C34" s="571"/>
      <c r="D34" s="571"/>
      <c r="E34" s="571"/>
      <c r="F34" s="571"/>
      <c r="G34" s="571"/>
      <c r="H34" s="810" t="s">
        <v>918</v>
      </c>
      <c r="I34" s="810"/>
      <c r="J34" s="810"/>
      <c r="K34" s="810"/>
      <c r="L34" s="810"/>
    </row>
    <row r="35" spans="1:12" s="572" customFormat="1" ht="15" x14ac:dyDescent="0.25">
      <c r="A35" s="492" t="s">
        <v>12</v>
      </c>
      <c r="B35" s="97"/>
      <c r="C35" s="97"/>
      <c r="E35" s="97"/>
      <c r="H35" s="657"/>
      <c r="I35" s="207" t="s">
        <v>82</v>
      </c>
      <c r="J35" s="207"/>
      <c r="K35" s="207"/>
      <c r="L35" s="207"/>
    </row>
    <row r="36" spans="1:12" s="572" customFormat="1" x14ac:dyDescent="0.2"/>
    <row r="39" spans="1:12" x14ac:dyDescent="0.2">
      <c r="A39" s="1173"/>
      <c r="B39" s="1173"/>
      <c r="C39" s="1173"/>
      <c r="D39" s="1173"/>
      <c r="E39" s="1173"/>
      <c r="F39" s="1173"/>
      <c r="G39" s="1173"/>
      <c r="H39" s="1173"/>
      <c r="I39" s="1173"/>
      <c r="J39" s="1173"/>
    </row>
    <row r="41" spans="1:12" x14ac:dyDescent="0.2">
      <c r="A41" s="1173"/>
      <c r="B41" s="1173"/>
      <c r="C41" s="1173"/>
      <c r="D41" s="1173"/>
      <c r="E41" s="1173"/>
      <c r="F41" s="1173"/>
      <c r="G41" s="1173"/>
      <c r="H41" s="1173"/>
      <c r="I41" s="1173"/>
      <c r="J41" s="1173"/>
    </row>
  </sheetData>
  <mergeCells count="17">
    <mergeCell ref="H34:L34"/>
    <mergeCell ref="A39:J39"/>
    <mergeCell ref="A41:J41"/>
    <mergeCell ref="I9:J9"/>
    <mergeCell ref="K9:L9"/>
    <mergeCell ref="A9:A10"/>
    <mergeCell ref="B9:B10"/>
    <mergeCell ref="C9:D9"/>
    <mergeCell ref="E9:F9"/>
    <mergeCell ref="G9:H9"/>
    <mergeCell ref="H32:L32"/>
    <mergeCell ref="H33:L33"/>
    <mergeCell ref="E1:I1"/>
    <mergeCell ref="A2:J2"/>
    <mergeCell ref="A3:J3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  <pageSetUpPr fitToPage="1"/>
  </sheetPr>
  <dimension ref="A1:P41"/>
  <sheetViews>
    <sheetView zoomScaleSheetLayoutView="100" workbookViewId="0">
      <selection activeCell="M21" sqref="M21"/>
    </sheetView>
  </sheetViews>
  <sheetFormatPr defaultRowHeight="12.75" x14ac:dyDescent="0.2"/>
  <cols>
    <col min="1" max="1" width="7.42578125" style="156" customWidth="1"/>
    <col min="2" max="2" width="17.140625" style="156" customWidth="1"/>
    <col min="3" max="3" width="11" style="156" customWidth="1"/>
    <col min="4" max="4" width="10" style="156" customWidth="1"/>
    <col min="5" max="5" width="11.85546875" style="156" customWidth="1"/>
    <col min="6" max="6" width="12.140625" style="156" customWidth="1"/>
    <col min="7" max="7" width="13.28515625" style="156" customWidth="1"/>
    <col min="8" max="8" width="14.5703125" style="156" customWidth="1"/>
    <col min="9" max="9" width="12" style="156" customWidth="1"/>
    <col min="10" max="10" width="13.140625" style="156" customWidth="1"/>
    <col min="11" max="11" width="12.140625" style="156" customWidth="1"/>
    <col min="12" max="12" width="12" style="156" customWidth="1"/>
    <col min="13" max="16384" width="9.140625" style="156"/>
  </cols>
  <sheetData>
    <row r="1" spans="1:16" s="87" customFormat="1" x14ac:dyDescent="0.2">
      <c r="E1" s="1170"/>
      <c r="F1" s="1170"/>
      <c r="G1" s="1170"/>
      <c r="H1" s="1170"/>
      <c r="I1" s="1170"/>
      <c r="J1" s="291" t="s">
        <v>673</v>
      </c>
    </row>
    <row r="2" spans="1:16" s="87" customFormat="1" ht="15" x14ac:dyDescent="0.2">
      <c r="A2" s="1171" t="s">
        <v>0</v>
      </c>
      <c r="B2" s="1171"/>
      <c r="C2" s="1171"/>
      <c r="D2" s="1171"/>
      <c r="E2" s="1171"/>
      <c r="F2" s="1171"/>
      <c r="G2" s="1171"/>
      <c r="H2" s="1171"/>
      <c r="I2" s="1171"/>
      <c r="J2" s="1171"/>
    </row>
    <row r="3" spans="1:16" s="87" customFormat="1" ht="20.25" x14ac:dyDescent="0.3">
      <c r="A3" s="900" t="s">
        <v>738</v>
      </c>
      <c r="B3" s="900"/>
      <c r="C3" s="900"/>
      <c r="D3" s="900"/>
      <c r="E3" s="900"/>
      <c r="F3" s="900"/>
      <c r="G3" s="900"/>
      <c r="H3" s="900"/>
      <c r="I3" s="900"/>
      <c r="J3" s="900"/>
    </row>
    <row r="4" spans="1:16" s="87" customFormat="1" ht="14.25" customHeight="1" x14ac:dyDescent="0.2"/>
    <row r="5" spans="1:16" ht="16.5" customHeight="1" x14ac:dyDescent="0.25">
      <c r="A5" s="1172" t="s">
        <v>817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</row>
    <row r="6" spans="1:16" ht="13.5" customHeight="1" x14ac:dyDescent="0.2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6" ht="0.75" customHeight="1" x14ac:dyDescent="0.2"/>
    <row r="8" spans="1:16" ht="15" x14ac:dyDescent="0.3">
      <c r="A8" s="197" t="s">
        <v>917</v>
      </c>
      <c r="B8" s="197" t="s">
        <v>916</v>
      </c>
      <c r="C8" s="293"/>
      <c r="H8" s="913"/>
      <c r="I8" s="913"/>
      <c r="J8" s="913"/>
      <c r="K8" s="913"/>
      <c r="L8" s="913"/>
    </row>
    <row r="9" spans="1:16" ht="21" customHeight="1" x14ac:dyDescent="0.2">
      <c r="A9" s="1051" t="s">
        <v>2</v>
      </c>
      <c r="B9" s="1051" t="s">
        <v>35</v>
      </c>
      <c r="C9" s="1174" t="s">
        <v>667</v>
      </c>
      <c r="D9" s="1174"/>
      <c r="E9" s="1174" t="s">
        <v>123</v>
      </c>
      <c r="F9" s="1174"/>
      <c r="G9" s="1174" t="s">
        <v>668</v>
      </c>
      <c r="H9" s="1174"/>
      <c r="I9" s="1174" t="s">
        <v>124</v>
      </c>
      <c r="J9" s="1174"/>
      <c r="K9" s="1174" t="s">
        <v>125</v>
      </c>
      <c r="L9" s="1174"/>
      <c r="O9" s="294"/>
      <c r="P9" s="295"/>
    </row>
    <row r="10" spans="1:16" ht="45" customHeight="1" x14ac:dyDescent="0.2">
      <c r="A10" s="1051"/>
      <c r="B10" s="1051"/>
      <c r="C10" s="92" t="s">
        <v>669</v>
      </c>
      <c r="D10" s="92" t="s">
        <v>670</v>
      </c>
      <c r="E10" s="92" t="s">
        <v>671</v>
      </c>
      <c r="F10" s="92" t="s">
        <v>672</v>
      </c>
      <c r="G10" s="92" t="s">
        <v>671</v>
      </c>
      <c r="H10" s="92" t="s">
        <v>672</v>
      </c>
      <c r="I10" s="92" t="s">
        <v>669</v>
      </c>
      <c r="J10" s="92" t="s">
        <v>670</v>
      </c>
      <c r="K10" s="92" t="s">
        <v>669</v>
      </c>
      <c r="L10" s="92" t="s">
        <v>670</v>
      </c>
    </row>
    <row r="11" spans="1:16" x14ac:dyDescent="0.2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</row>
    <row r="12" spans="1:16" x14ac:dyDescent="0.2">
      <c r="A12" s="296">
        <v>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</row>
    <row r="13" spans="1:16" x14ac:dyDescent="0.2">
      <c r="A13" s="296">
        <v>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</row>
    <row r="14" spans="1:16" x14ac:dyDescent="0.2">
      <c r="A14" s="296">
        <v>3</v>
      </c>
      <c r="B14" s="294"/>
      <c r="C14" s="294"/>
      <c r="D14" s="294"/>
      <c r="E14" s="294" t="s">
        <v>11</v>
      </c>
      <c r="F14" s="294"/>
      <c r="G14" s="294"/>
      <c r="H14" s="294"/>
      <c r="I14" s="294"/>
      <c r="J14" s="294"/>
      <c r="K14" s="294"/>
      <c r="L14" s="294"/>
    </row>
    <row r="15" spans="1:16" x14ac:dyDescent="0.2">
      <c r="A15" s="296">
        <v>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</row>
    <row r="16" spans="1:16" x14ac:dyDescent="0.2">
      <c r="A16" s="296">
        <v>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</row>
    <row r="17" spans="1:12" x14ac:dyDescent="0.2">
      <c r="A17" s="296">
        <v>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</row>
    <row r="18" spans="1:12" x14ac:dyDescent="0.2">
      <c r="A18" s="296">
        <v>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</row>
    <row r="19" spans="1:12" x14ac:dyDescent="0.2">
      <c r="A19" s="296">
        <v>8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</row>
    <row r="20" spans="1:12" x14ac:dyDescent="0.2">
      <c r="A20" s="296">
        <v>9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</row>
    <row r="21" spans="1:12" x14ac:dyDescent="0.2">
      <c r="A21" s="296">
        <v>10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</row>
    <row r="22" spans="1:12" x14ac:dyDescent="0.2">
      <c r="A22" s="296">
        <v>11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</row>
    <row r="23" spans="1:12" x14ac:dyDescent="0.2">
      <c r="A23" s="296">
        <v>12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</row>
    <row r="24" spans="1:12" x14ac:dyDescent="0.2">
      <c r="A24" s="296">
        <v>13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</row>
    <row r="25" spans="1:12" x14ac:dyDescent="0.2">
      <c r="A25" s="296">
        <v>14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</row>
    <row r="26" spans="1:12" x14ac:dyDescent="0.2">
      <c r="A26" s="297" t="s">
        <v>7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</row>
    <row r="27" spans="1:12" x14ac:dyDescent="0.2">
      <c r="A27" s="297" t="s">
        <v>7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</row>
    <row r="28" spans="1:12" x14ac:dyDescent="0.2">
      <c r="A28" s="91" t="s">
        <v>18</v>
      </c>
      <c r="B28" s="298"/>
      <c r="C28" s="298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2" x14ac:dyDescent="0.2">
      <c r="A29" s="95"/>
      <c r="B29" s="115"/>
      <c r="C29" s="115"/>
      <c r="D29" s="295"/>
      <c r="E29" s="295"/>
      <c r="F29" s="295"/>
      <c r="G29" s="295"/>
      <c r="H29" s="295"/>
      <c r="I29" s="295"/>
      <c r="J29" s="295"/>
    </row>
    <row r="30" spans="1:12" x14ac:dyDescent="0.2">
      <c r="A30" s="95"/>
      <c r="B30" s="115"/>
      <c r="C30" s="115"/>
      <c r="D30" s="295"/>
      <c r="E30" s="295"/>
      <c r="F30" s="295"/>
      <c r="G30" s="295"/>
      <c r="H30" s="295"/>
      <c r="I30" s="295"/>
      <c r="J30" s="295"/>
    </row>
    <row r="31" spans="1:12" s="572" customFormat="1" x14ac:dyDescent="0.2">
      <c r="A31" s="95"/>
      <c r="B31" s="115"/>
      <c r="C31" s="115"/>
      <c r="D31" s="295"/>
      <c r="E31" s="295"/>
      <c r="F31" s="295"/>
      <c r="G31" s="295"/>
      <c r="H31" s="295"/>
      <c r="I31" s="295"/>
      <c r="J31" s="295"/>
    </row>
    <row r="32" spans="1:12" s="572" customFormat="1" ht="15.75" customHeight="1" x14ac:dyDescent="0.2">
      <c r="A32" s="97"/>
      <c r="B32" s="97"/>
      <c r="C32" s="97"/>
      <c r="D32" s="97"/>
      <c r="E32" s="97"/>
      <c r="F32" s="97"/>
      <c r="G32" s="97"/>
      <c r="H32" s="810" t="s">
        <v>13</v>
      </c>
      <c r="I32" s="810"/>
      <c r="J32" s="810"/>
      <c r="K32" s="810"/>
      <c r="L32" s="810"/>
    </row>
    <row r="33" spans="1:12" s="572" customFormat="1" ht="12.75" customHeight="1" x14ac:dyDescent="0.2">
      <c r="A33" s="653"/>
      <c r="B33" s="653"/>
      <c r="C33" s="653"/>
      <c r="D33" s="653"/>
      <c r="E33" s="653"/>
      <c r="F33" s="653"/>
      <c r="G33" s="653"/>
      <c r="H33" s="810" t="s">
        <v>14</v>
      </c>
      <c r="I33" s="810"/>
      <c r="J33" s="810"/>
      <c r="K33" s="810"/>
      <c r="L33" s="810"/>
    </row>
    <row r="34" spans="1:12" s="572" customFormat="1" ht="12.75" customHeight="1" x14ac:dyDescent="0.2">
      <c r="A34" s="571"/>
      <c r="B34" s="571"/>
      <c r="C34" s="571"/>
      <c r="D34" s="571"/>
      <c r="E34" s="571"/>
      <c r="F34" s="571"/>
      <c r="G34" s="571"/>
      <c r="H34" s="810" t="s">
        <v>918</v>
      </c>
      <c r="I34" s="810"/>
      <c r="J34" s="810"/>
      <c r="K34" s="810"/>
      <c r="L34" s="810"/>
    </row>
    <row r="35" spans="1:12" s="572" customFormat="1" ht="15" x14ac:dyDescent="0.25">
      <c r="A35" s="492" t="s">
        <v>12</v>
      </c>
      <c r="B35" s="97"/>
      <c r="C35" s="97"/>
      <c r="E35" s="97"/>
      <c r="H35" s="657"/>
      <c r="I35" s="207" t="s">
        <v>82</v>
      </c>
      <c r="J35" s="207"/>
      <c r="K35" s="207"/>
      <c r="L35" s="207"/>
    </row>
    <row r="36" spans="1:12" s="572" customFormat="1" x14ac:dyDescent="0.2"/>
    <row r="39" spans="1:12" x14ac:dyDescent="0.2">
      <c r="A39" s="1173"/>
      <c r="B39" s="1173"/>
      <c r="C39" s="1173"/>
      <c r="D39" s="1173"/>
      <c r="E39" s="1173"/>
      <c r="F39" s="1173"/>
      <c r="G39" s="1173"/>
      <c r="H39" s="1173"/>
      <c r="I39" s="1173"/>
      <c r="J39" s="1173"/>
    </row>
    <row r="41" spans="1:12" x14ac:dyDescent="0.2">
      <c r="A41" s="1173"/>
      <c r="B41" s="1173"/>
      <c r="C41" s="1173"/>
      <c r="D41" s="1173"/>
      <c r="E41" s="1173"/>
      <c r="F41" s="1173"/>
      <c r="G41" s="1173"/>
      <c r="H41" s="1173"/>
      <c r="I41" s="1173"/>
      <c r="J41" s="1173"/>
    </row>
  </sheetData>
  <mergeCells count="17">
    <mergeCell ref="H34:L34"/>
    <mergeCell ref="A39:J39"/>
    <mergeCell ref="A41:J41"/>
    <mergeCell ref="I9:J9"/>
    <mergeCell ref="K9:L9"/>
    <mergeCell ref="A9:A10"/>
    <mergeCell ref="B9:B10"/>
    <mergeCell ref="C9:D9"/>
    <mergeCell ref="E9:F9"/>
    <mergeCell ref="G9:H9"/>
    <mergeCell ref="H32:L32"/>
    <mergeCell ref="H33:L33"/>
    <mergeCell ref="E1:I1"/>
    <mergeCell ref="A2:J2"/>
    <mergeCell ref="A3:J3"/>
    <mergeCell ref="A5:L5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E27"/>
  <sheetViews>
    <sheetView workbookViewId="0">
      <selection activeCell="E3" sqref="E3"/>
    </sheetView>
  </sheetViews>
  <sheetFormatPr defaultRowHeight="12.75" x14ac:dyDescent="0.2"/>
  <cols>
    <col min="1" max="1" width="5.85546875" style="472" customWidth="1"/>
    <col min="2" max="2" width="24.5703125" style="472" customWidth="1"/>
    <col min="3" max="3" width="26.28515625" style="472" customWidth="1"/>
    <col min="4" max="4" width="20.85546875" style="472" customWidth="1"/>
    <col min="5" max="5" width="18.28515625" style="472" customWidth="1"/>
    <col min="6" max="16384" width="9.140625" style="472"/>
  </cols>
  <sheetData>
    <row r="1" spans="1:5" ht="30" customHeight="1" x14ac:dyDescent="0.3">
      <c r="A1" s="1176" t="s">
        <v>1109</v>
      </c>
      <c r="B1" s="1176"/>
      <c r="C1" s="1176"/>
      <c r="D1" s="1176"/>
      <c r="E1" s="1176"/>
    </row>
    <row r="2" spans="1:5" ht="20.25" customHeight="1" x14ac:dyDescent="0.3">
      <c r="A2" s="1176" t="s">
        <v>1052</v>
      </c>
      <c r="B2" s="1176"/>
      <c r="C2" s="1176"/>
      <c r="D2" s="1176"/>
      <c r="E2" s="1176"/>
    </row>
    <row r="3" spans="1:5" ht="68.25" customHeight="1" x14ac:dyDescent="0.2">
      <c r="A3" s="664" t="s">
        <v>1053</v>
      </c>
      <c r="B3" s="664" t="s">
        <v>1054</v>
      </c>
      <c r="C3" s="664" t="s">
        <v>1055</v>
      </c>
      <c r="D3" s="664" t="s">
        <v>1056</v>
      </c>
      <c r="E3" s="664" t="s">
        <v>1057</v>
      </c>
    </row>
    <row r="4" spans="1:5" ht="17.25" thickBot="1" x14ac:dyDescent="0.3">
      <c r="A4" s="665">
        <v>1</v>
      </c>
      <c r="B4" s="666">
        <v>2</v>
      </c>
      <c r="C4" s="666">
        <v>3</v>
      </c>
      <c r="D4" s="666">
        <v>4</v>
      </c>
      <c r="E4" s="667">
        <v>5</v>
      </c>
    </row>
    <row r="5" spans="1:5" ht="30.75" customHeight="1" thickBot="1" x14ac:dyDescent="0.35">
      <c r="A5" s="668">
        <v>1</v>
      </c>
      <c r="B5" s="669" t="s">
        <v>1058</v>
      </c>
      <c r="C5" s="670" t="s">
        <v>1108</v>
      </c>
      <c r="D5" s="667">
        <v>175</v>
      </c>
      <c r="E5" s="671">
        <f>D5*15000*12</f>
        <v>31500000</v>
      </c>
    </row>
    <row r="6" spans="1:5" ht="51.75" customHeight="1" thickBot="1" x14ac:dyDescent="0.35">
      <c r="A6" s="668">
        <v>2</v>
      </c>
      <c r="B6" s="669" t="s">
        <v>1059</v>
      </c>
      <c r="C6" s="670" t="s">
        <v>1060</v>
      </c>
      <c r="D6" s="667">
        <v>2</v>
      </c>
      <c r="E6" s="671">
        <v>1600000</v>
      </c>
    </row>
    <row r="7" spans="1:5" ht="30.75" customHeight="1" thickBot="1" x14ac:dyDescent="0.35">
      <c r="A7" s="672">
        <v>3</v>
      </c>
      <c r="B7" s="669" t="s">
        <v>1061</v>
      </c>
      <c r="C7" s="669" t="s">
        <v>1062</v>
      </c>
      <c r="D7" s="673" t="s">
        <v>1063</v>
      </c>
      <c r="E7" s="671">
        <f>50*31369</f>
        <v>1568450</v>
      </c>
    </row>
    <row r="8" spans="1:5" ht="64.5" customHeight="1" thickBot="1" x14ac:dyDescent="0.35">
      <c r="A8" s="672">
        <v>4</v>
      </c>
      <c r="B8" s="669" t="s">
        <v>1064</v>
      </c>
      <c r="C8" s="669" t="s">
        <v>1065</v>
      </c>
      <c r="D8" s="673" t="s">
        <v>1066</v>
      </c>
      <c r="E8" s="671">
        <f>4*1870682</f>
        <v>7482728</v>
      </c>
    </row>
    <row r="9" spans="1:5" ht="36" customHeight="1" thickBot="1" x14ac:dyDescent="0.35">
      <c r="A9" s="672">
        <v>5</v>
      </c>
      <c r="B9" s="669" t="s">
        <v>1067</v>
      </c>
      <c r="C9" s="472" t="s">
        <v>1068</v>
      </c>
      <c r="D9" s="674" t="s">
        <v>1069</v>
      </c>
      <c r="E9" s="671">
        <v>5899100</v>
      </c>
    </row>
    <row r="10" spans="1:5" ht="66.75" customHeight="1" thickBot="1" x14ac:dyDescent="0.35">
      <c r="A10" s="672">
        <v>6</v>
      </c>
      <c r="B10" s="669" t="s">
        <v>1070</v>
      </c>
      <c r="C10" s="675" t="s">
        <v>1071</v>
      </c>
      <c r="D10" s="673" t="s">
        <v>1072</v>
      </c>
      <c r="E10" s="671">
        <v>1740000</v>
      </c>
    </row>
    <row r="11" spans="1:5" ht="18" customHeight="1" thickBot="1" x14ac:dyDescent="0.35">
      <c r="A11" s="672">
        <v>7</v>
      </c>
      <c r="B11" s="669" t="s">
        <v>1073</v>
      </c>
      <c r="C11" s="675" t="s">
        <v>1074</v>
      </c>
      <c r="D11" s="673" t="s">
        <v>1075</v>
      </c>
      <c r="E11" s="671">
        <f>500*3*175</f>
        <v>262500</v>
      </c>
    </row>
    <row r="12" spans="1:5" ht="18.75" customHeight="1" thickBot="1" x14ac:dyDescent="0.35">
      <c r="A12" s="1177">
        <v>8</v>
      </c>
      <c r="B12" s="1179" t="s">
        <v>1076</v>
      </c>
      <c r="C12" s="669" t="s">
        <v>1077</v>
      </c>
      <c r="D12" s="673" t="s">
        <v>1078</v>
      </c>
      <c r="E12" s="671">
        <v>2000000</v>
      </c>
    </row>
    <row r="13" spans="1:5" ht="18.75" customHeight="1" thickBot="1" x14ac:dyDescent="0.35">
      <c r="A13" s="1178"/>
      <c r="B13" s="1180"/>
      <c r="C13" s="669" t="s">
        <v>1079</v>
      </c>
      <c r="D13" s="673" t="s">
        <v>1080</v>
      </c>
      <c r="E13" s="671">
        <f>40000*28</f>
        <v>1120000</v>
      </c>
    </row>
    <row r="14" spans="1:5" ht="18.75" customHeight="1" thickBot="1" x14ac:dyDescent="0.35">
      <c r="A14" s="1178"/>
      <c r="B14" s="1180"/>
      <c r="C14" s="669" t="s">
        <v>1081</v>
      </c>
      <c r="D14" s="673" t="s">
        <v>1082</v>
      </c>
      <c r="E14" s="671">
        <f>15000*146</f>
        <v>2190000</v>
      </c>
    </row>
    <row r="15" spans="1:5" ht="36.75" customHeight="1" thickBot="1" x14ac:dyDescent="0.35">
      <c r="A15" s="1181">
        <v>9</v>
      </c>
      <c r="B15" s="1181" t="s">
        <v>1083</v>
      </c>
      <c r="C15" s="669" t="s">
        <v>1084</v>
      </c>
      <c r="D15" s="669" t="s">
        <v>1085</v>
      </c>
      <c r="E15" s="671">
        <v>1466000</v>
      </c>
    </row>
    <row r="16" spans="1:5" ht="32.25" customHeight="1" thickBot="1" x14ac:dyDescent="0.35">
      <c r="A16" s="1181"/>
      <c r="B16" s="1181"/>
      <c r="C16" s="669" t="s">
        <v>1086</v>
      </c>
      <c r="D16" s="669" t="s">
        <v>1087</v>
      </c>
      <c r="E16" s="671">
        <v>572000</v>
      </c>
    </row>
    <row r="17" spans="1:5" ht="31.5" customHeight="1" thickBot="1" x14ac:dyDescent="0.35">
      <c r="A17" s="1181"/>
      <c r="B17" s="1181"/>
      <c r="C17" s="669" t="s">
        <v>1088</v>
      </c>
      <c r="D17" s="669" t="s">
        <v>1089</v>
      </c>
      <c r="E17" s="671">
        <v>173000</v>
      </c>
    </row>
    <row r="18" spans="1:5" ht="36" customHeight="1" thickBot="1" x14ac:dyDescent="0.35">
      <c r="A18" s="676">
        <v>10</v>
      </c>
      <c r="B18" s="677" t="s">
        <v>1090</v>
      </c>
      <c r="C18" s="669" t="s">
        <v>1111</v>
      </c>
      <c r="D18" s="673" t="s">
        <v>1091</v>
      </c>
      <c r="E18" s="671">
        <f>12000*150</f>
        <v>1800000</v>
      </c>
    </row>
    <row r="19" spans="1:5" ht="30.75" customHeight="1" thickBot="1" x14ac:dyDescent="0.4">
      <c r="A19" s="678"/>
      <c r="B19" s="679"/>
      <c r="C19" s="679"/>
      <c r="D19" s="680" t="s">
        <v>1092</v>
      </c>
      <c r="E19" s="681">
        <f>SUM(E5:E18)</f>
        <v>59373778</v>
      </c>
    </row>
    <row r="21" spans="1:5" ht="7.5" customHeight="1" x14ac:dyDescent="0.2"/>
    <row r="22" spans="1:5" ht="7.5" customHeight="1" x14ac:dyDescent="0.2"/>
    <row r="23" spans="1:5" x14ac:dyDescent="0.2">
      <c r="D23" s="1175" t="s">
        <v>13</v>
      </c>
      <c r="E23" s="1175"/>
    </row>
    <row r="24" spans="1:5" ht="17.25" customHeight="1" x14ac:dyDescent="0.2">
      <c r="B24" s="682"/>
      <c r="C24" s="682"/>
      <c r="D24" s="1175" t="s">
        <v>14</v>
      </c>
      <c r="E24" s="1175"/>
    </row>
    <row r="25" spans="1:5" ht="24" customHeight="1" x14ac:dyDescent="0.2">
      <c r="B25" s="682"/>
      <c r="C25" s="682"/>
      <c r="D25" s="1175" t="s">
        <v>1093</v>
      </c>
      <c r="E25" s="1175"/>
    </row>
    <row r="26" spans="1:5" ht="12.75" customHeight="1" x14ac:dyDescent="0.2">
      <c r="B26" s="682"/>
      <c r="C26" s="682"/>
      <c r="D26" s="508" t="s">
        <v>82</v>
      </c>
      <c r="E26" s="508"/>
    </row>
    <row r="27" spans="1:5" x14ac:dyDescent="0.2">
      <c r="B27" s="508"/>
      <c r="C27" s="508"/>
    </row>
  </sheetData>
  <mergeCells count="9">
    <mergeCell ref="D23:E23"/>
    <mergeCell ref="D24:E24"/>
    <mergeCell ref="D25:E25"/>
    <mergeCell ref="A1:E1"/>
    <mergeCell ref="A2:E2"/>
    <mergeCell ref="A12:A14"/>
    <mergeCell ref="B12:B14"/>
    <mergeCell ref="A15:A17"/>
    <mergeCell ref="B15:B17"/>
  </mergeCells>
  <pageMargins left="0.49" right="0.25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</sheetPr>
  <dimension ref="A1:F26"/>
  <sheetViews>
    <sheetView workbookViewId="0">
      <selection activeCell="H12" sqref="H12"/>
    </sheetView>
  </sheetViews>
  <sheetFormatPr defaultRowHeight="12.75" x14ac:dyDescent="0.2"/>
  <cols>
    <col min="1" max="1" width="6.28515625" style="472" customWidth="1"/>
    <col min="2" max="2" width="24.28515625" style="472" customWidth="1"/>
    <col min="3" max="3" width="26.28515625" style="472" customWidth="1"/>
    <col min="4" max="4" width="20.85546875" style="472" customWidth="1"/>
    <col min="5" max="5" width="18.28515625" style="472" customWidth="1"/>
    <col min="6" max="16384" width="9.140625" style="472"/>
  </cols>
  <sheetData>
    <row r="1" spans="1:5" ht="40.5" customHeight="1" x14ac:dyDescent="0.3">
      <c r="A1" s="1176" t="s">
        <v>1110</v>
      </c>
      <c r="B1" s="1176"/>
      <c r="C1" s="1176"/>
      <c r="D1" s="1176"/>
      <c r="E1" s="1176"/>
    </row>
    <row r="4" spans="1:5" ht="27" thickBot="1" x14ac:dyDescent="0.45">
      <c r="A4" s="1182" t="s">
        <v>1094</v>
      </c>
      <c r="B4" s="1182"/>
      <c r="C4" s="1182"/>
      <c r="D4" s="1182"/>
      <c r="E4" s="1182"/>
    </row>
    <row r="5" spans="1:5" ht="66.75" thickBot="1" x14ac:dyDescent="0.25">
      <c r="A5" s="683" t="s">
        <v>1053</v>
      </c>
      <c r="B5" s="684" t="s">
        <v>1054</v>
      </c>
      <c r="C5" s="684" t="s">
        <v>1055</v>
      </c>
      <c r="D5" s="684" t="s">
        <v>1095</v>
      </c>
      <c r="E5" s="684" t="s">
        <v>1057</v>
      </c>
    </row>
    <row r="6" spans="1:5" ht="17.25" thickBot="1" x14ac:dyDescent="0.3">
      <c r="A6" s="665">
        <v>1</v>
      </c>
      <c r="B6" s="666">
        <v>2</v>
      </c>
      <c r="C6" s="666">
        <v>3</v>
      </c>
      <c r="D6" s="666">
        <v>4</v>
      </c>
      <c r="E6" s="667">
        <v>5</v>
      </c>
    </row>
    <row r="7" spans="1:5" ht="21" customHeight="1" thickBot="1" x14ac:dyDescent="0.25">
      <c r="A7" s="685">
        <v>1</v>
      </c>
      <c r="B7" s="686" t="s">
        <v>1058</v>
      </c>
      <c r="C7" s="687" t="s">
        <v>1108</v>
      </c>
      <c r="D7" s="687">
        <v>175</v>
      </c>
      <c r="E7" s="688">
        <f>D7*15000*12</f>
        <v>31500000</v>
      </c>
    </row>
    <row r="8" spans="1:5" ht="36.75" customHeight="1" thickBot="1" x14ac:dyDescent="0.35">
      <c r="A8" s="689">
        <v>2</v>
      </c>
      <c r="B8" s="669" t="s">
        <v>1096</v>
      </c>
      <c r="C8" s="670" t="s">
        <v>1097</v>
      </c>
      <c r="D8" s="670">
        <v>2</v>
      </c>
      <c r="E8" s="671">
        <v>1600000</v>
      </c>
    </row>
    <row r="9" spans="1:5" ht="33" thickBot="1" x14ac:dyDescent="0.35">
      <c r="A9" s="690">
        <v>3</v>
      </c>
      <c r="B9" s="669" t="s">
        <v>1061</v>
      </c>
      <c r="C9" s="669" t="s">
        <v>1062</v>
      </c>
      <c r="D9" s="673" t="s">
        <v>1098</v>
      </c>
      <c r="E9" s="671">
        <f>50*13555</f>
        <v>677750</v>
      </c>
    </row>
    <row r="10" spans="1:5" ht="64.5" thickBot="1" x14ac:dyDescent="0.35">
      <c r="A10" s="672">
        <v>4</v>
      </c>
      <c r="B10" s="669" t="s">
        <v>1064</v>
      </c>
      <c r="C10" s="669" t="s">
        <v>1099</v>
      </c>
      <c r="D10" s="673" t="s">
        <v>1100</v>
      </c>
      <c r="E10" s="671">
        <f>5*1170441</f>
        <v>5852205</v>
      </c>
    </row>
    <row r="11" spans="1:5" ht="36.75" customHeight="1" thickBot="1" x14ac:dyDescent="0.35">
      <c r="A11" s="672">
        <v>5</v>
      </c>
      <c r="B11" s="701" t="s">
        <v>1067</v>
      </c>
      <c r="C11" s="472" t="s">
        <v>1068</v>
      </c>
      <c r="D11" s="674" t="s">
        <v>1101</v>
      </c>
      <c r="E11" s="671">
        <f>100*30356</f>
        <v>3035600</v>
      </c>
    </row>
    <row r="12" spans="1:5" ht="66.75" customHeight="1" thickBot="1" x14ac:dyDescent="0.3">
      <c r="A12" s="672">
        <v>6</v>
      </c>
      <c r="B12" s="669" t="s">
        <v>1070</v>
      </c>
      <c r="C12" s="675" t="s">
        <v>1102</v>
      </c>
      <c r="D12" s="673" t="s">
        <v>1103</v>
      </c>
      <c r="E12" s="691">
        <v>924000</v>
      </c>
    </row>
    <row r="13" spans="1:5" ht="19.5" thickBot="1" x14ac:dyDescent="0.35">
      <c r="A13" s="690">
        <v>7</v>
      </c>
      <c r="B13" s="669" t="s">
        <v>1073</v>
      </c>
      <c r="C13" s="675" t="s">
        <v>1074</v>
      </c>
      <c r="D13" s="673" t="s">
        <v>1075</v>
      </c>
      <c r="E13" s="671">
        <f>500*3*175</f>
        <v>262500</v>
      </c>
    </row>
    <row r="14" spans="1:5" ht="17.25" customHeight="1" thickBot="1" x14ac:dyDescent="0.35">
      <c r="A14" s="1177">
        <v>8</v>
      </c>
      <c r="B14" s="1179" t="s">
        <v>1076</v>
      </c>
      <c r="C14" s="669" t="s">
        <v>1104</v>
      </c>
      <c r="D14" s="673" t="s">
        <v>1078</v>
      </c>
      <c r="E14" s="671">
        <v>1000000</v>
      </c>
    </row>
    <row r="15" spans="1:5" ht="16.5" customHeight="1" thickBot="1" x14ac:dyDescent="0.35">
      <c r="A15" s="1178"/>
      <c r="B15" s="1180"/>
      <c r="C15" s="669" t="s">
        <v>1079</v>
      </c>
      <c r="D15" s="673" t="s">
        <v>1080</v>
      </c>
      <c r="E15" s="671">
        <v>1120000</v>
      </c>
    </row>
    <row r="16" spans="1:5" ht="17.25" customHeight="1" x14ac:dyDescent="0.3">
      <c r="A16" s="1178"/>
      <c r="B16" s="1180"/>
      <c r="C16" s="692" t="s">
        <v>1105</v>
      </c>
      <c r="D16" s="693" t="s">
        <v>1082</v>
      </c>
      <c r="E16" s="694">
        <v>1460000</v>
      </c>
    </row>
    <row r="17" spans="1:6" ht="37.5" customHeight="1" x14ac:dyDescent="0.3">
      <c r="A17" s="676">
        <v>9</v>
      </c>
      <c r="B17" s="677" t="s">
        <v>1090</v>
      </c>
      <c r="C17" s="702" t="s">
        <v>1111</v>
      </c>
      <c r="D17" s="695" t="s">
        <v>1106</v>
      </c>
      <c r="E17" s="696">
        <f>12000*80</f>
        <v>960000</v>
      </c>
    </row>
    <row r="18" spans="1:6" ht="20.25" x14ac:dyDescent="0.35">
      <c r="A18" s="697"/>
      <c r="B18" s="698"/>
      <c r="C18" s="1183" t="s">
        <v>1107</v>
      </c>
      <c r="D18" s="1183"/>
      <c r="E18" s="699">
        <f>SUM(E7:E17)</f>
        <v>48392055</v>
      </c>
    </row>
    <row r="22" spans="1:6" x14ac:dyDescent="0.2">
      <c r="F22" s="700"/>
    </row>
    <row r="23" spans="1:6" ht="12.75" customHeight="1" x14ac:dyDescent="0.2">
      <c r="D23" s="1175" t="s">
        <v>13</v>
      </c>
      <c r="E23" s="1175"/>
      <c r="F23" s="700"/>
    </row>
    <row r="24" spans="1:6" ht="12.75" customHeight="1" x14ac:dyDescent="0.2">
      <c r="D24" s="1175" t="s">
        <v>14</v>
      </c>
      <c r="E24" s="1175"/>
      <c r="F24" s="700"/>
    </row>
    <row r="25" spans="1:6" ht="24.75" customHeight="1" x14ac:dyDescent="0.2">
      <c r="D25" s="1175" t="s">
        <v>1093</v>
      </c>
      <c r="E25" s="1175"/>
    </row>
    <row r="26" spans="1:6" x14ac:dyDescent="0.2">
      <c r="C26" s="508"/>
      <c r="D26" s="508" t="s">
        <v>82</v>
      </c>
      <c r="E26" s="508"/>
    </row>
  </sheetData>
  <mergeCells count="8">
    <mergeCell ref="D24:E24"/>
    <mergeCell ref="D25:E25"/>
    <mergeCell ref="A1:E1"/>
    <mergeCell ref="A4:E4"/>
    <mergeCell ref="A14:A16"/>
    <mergeCell ref="B14:B16"/>
    <mergeCell ref="C18:D18"/>
    <mergeCell ref="D23:E23"/>
  </mergeCells>
  <pageMargins left="0.45" right="0.42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  <pageSetUpPr fitToPage="1"/>
  </sheetPr>
  <dimension ref="A1:H24"/>
  <sheetViews>
    <sheetView zoomScale="70" zoomScaleNormal="70" workbookViewId="0">
      <selection activeCell="J9" sqref="J9"/>
    </sheetView>
  </sheetViews>
  <sheetFormatPr defaultRowHeight="12.75" x14ac:dyDescent="0.2"/>
  <cols>
    <col min="1" max="1" width="11.140625" customWidth="1"/>
    <col min="2" max="2" width="19.28515625" customWidth="1"/>
    <col min="3" max="3" width="15" customWidth="1"/>
    <col min="4" max="4" width="21" customWidth="1"/>
    <col min="5" max="5" width="32.28515625" customWidth="1"/>
    <col min="6" max="7" width="15" customWidth="1"/>
    <col min="8" max="8" width="18.7109375" customWidth="1"/>
  </cols>
  <sheetData>
    <row r="1" spans="1:8" ht="57" customHeight="1" x14ac:dyDescent="0.2">
      <c r="A1" s="1185" t="s">
        <v>1135</v>
      </c>
      <c r="B1" s="1185"/>
      <c r="C1" s="1185"/>
      <c r="D1" s="1185"/>
      <c r="E1" s="1185"/>
      <c r="F1" s="1185"/>
      <c r="G1" s="1185"/>
      <c r="H1" s="1185"/>
    </row>
    <row r="2" spans="1:8" ht="39.75" customHeight="1" x14ac:dyDescent="0.2">
      <c r="A2" s="1184" t="s">
        <v>1119</v>
      </c>
      <c r="B2" s="1184"/>
      <c r="C2" s="1184"/>
      <c r="D2" s="1184"/>
      <c r="E2" s="1184"/>
      <c r="F2" s="1184"/>
      <c r="G2" s="1184"/>
      <c r="H2" s="1184"/>
    </row>
    <row r="3" spans="1:8" ht="56.25" customHeight="1" x14ac:dyDescent="0.2">
      <c r="A3" s="1186" t="s">
        <v>1133</v>
      </c>
      <c r="B3" s="1186" t="s">
        <v>1112</v>
      </c>
      <c r="C3" s="1186" t="s">
        <v>1113</v>
      </c>
      <c r="D3" s="1186"/>
      <c r="E3" s="1189" t="s">
        <v>1134</v>
      </c>
      <c r="F3" s="1187" t="s">
        <v>1144</v>
      </c>
      <c r="G3" s="1187"/>
      <c r="H3" s="1187"/>
    </row>
    <row r="4" spans="1:8" ht="23.25" x14ac:dyDescent="0.35">
      <c r="A4" s="1186"/>
      <c r="B4" s="1186"/>
      <c r="C4" s="725" t="s">
        <v>1114</v>
      </c>
      <c r="D4" s="725" t="s">
        <v>1115</v>
      </c>
      <c r="E4" s="1189"/>
      <c r="F4" s="725" t="s">
        <v>1131</v>
      </c>
      <c r="G4" s="726" t="s">
        <v>1132</v>
      </c>
      <c r="H4" s="726" t="s">
        <v>1118</v>
      </c>
    </row>
    <row r="5" spans="1:8" ht="28.5" customHeight="1" x14ac:dyDescent="0.35">
      <c r="A5" s="731">
        <v>1</v>
      </c>
      <c r="B5" s="727" t="s">
        <v>981</v>
      </c>
      <c r="C5" s="725">
        <v>63850</v>
      </c>
      <c r="D5" s="725">
        <v>45546</v>
      </c>
      <c r="E5" s="745">
        <f>ROUND(((C5*82%*58*100)/1000+(D5*82%*58*150)/1000),0)</f>
        <v>628596</v>
      </c>
      <c r="F5" s="728">
        <f>H5*60%</f>
        <v>211.20599999999999</v>
      </c>
      <c r="G5" s="728">
        <f>H5-F5</f>
        <v>140.804</v>
      </c>
      <c r="H5" s="725">
        <f>ROUND(E5*56/100000,2)</f>
        <v>352.01</v>
      </c>
    </row>
    <row r="6" spans="1:8" ht="28.5" customHeight="1" x14ac:dyDescent="0.35">
      <c r="A6" s="731">
        <v>2</v>
      </c>
      <c r="B6" s="727" t="s">
        <v>985</v>
      </c>
      <c r="C6" s="725">
        <v>49939</v>
      </c>
      <c r="D6" s="725">
        <v>29837</v>
      </c>
      <c r="E6" s="745">
        <f>ROUND(((C6*83%*58*100)/1000+(D6*83%*58*150)/1000),0)</f>
        <v>455859</v>
      </c>
      <c r="F6" s="728">
        <f t="shared" ref="F6:F10" si="0">H6*60%</f>
        <v>153.16800000000001</v>
      </c>
      <c r="G6" s="728">
        <f t="shared" ref="G6:G10" si="1">H6-F6</f>
        <v>102.11199999999999</v>
      </c>
      <c r="H6" s="725">
        <f t="shared" ref="H6:H10" si="2">ROUND(E6*56/100000,2)</f>
        <v>255.28</v>
      </c>
    </row>
    <row r="7" spans="1:8" ht="28.5" customHeight="1" x14ac:dyDescent="0.35">
      <c r="A7" s="731">
        <v>3</v>
      </c>
      <c r="B7" s="727" t="s">
        <v>986</v>
      </c>
      <c r="C7" s="725">
        <v>42131</v>
      </c>
      <c r="D7" s="725">
        <v>26219</v>
      </c>
      <c r="E7" s="745">
        <f>ROUND(((C7*83%*58*100)/1000+(D7*83%*58*150)/1000),0)</f>
        <v>392146</v>
      </c>
      <c r="F7" s="728">
        <f t="shared" si="0"/>
        <v>131.76</v>
      </c>
      <c r="G7" s="728">
        <f t="shared" si="1"/>
        <v>87.84</v>
      </c>
      <c r="H7" s="725">
        <f t="shared" si="2"/>
        <v>219.6</v>
      </c>
    </row>
    <row r="8" spans="1:8" ht="28.5" customHeight="1" x14ac:dyDescent="0.35">
      <c r="A8" s="731">
        <v>4</v>
      </c>
      <c r="B8" s="727" t="s">
        <v>1116</v>
      </c>
      <c r="C8" s="725">
        <v>61743</v>
      </c>
      <c r="D8" s="725">
        <v>35895</v>
      </c>
      <c r="E8" s="745">
        <f>ROUND(((C8*83%*58*100)/1000+(D8*83%*58*150)/1000),0)</f>
        <v>556429</v>
      </c>
      <c r="F8" s="728">
        <f t="shared" si="0"/>
        <v>186.96</v>
      </c>
      <c r="G8" s="728">
        <f t="shared" si="1"/>
        <v>124.64000000000001</v>
      </c>
      <c r="H8" s="725">
        <f t="shared" si="2"/>
        <v>311.60000000000002</v>
      </c>
    </row>
    <row r="9" spans="1:8" ht="28.5" customHeight="1" x14ac:dyDescent="0.35">
      <c r="A9" s="731">
        <v>5</v>
      </c>
      <c r="B9" s="727" t="s">
        <v>1117</v>
      </c>
      <c r="C9" s="725">
        <v>113686</v>
      </c>
      <c r="D9" s="725">
        <v>71039</v>
      </c>
      <c r="E9" s="745">
        <f>ROUND(((C9*80%*58*100)/1000+(D9*80%*58*150)/1000),0)</f>
        <v>1021934</v>
      </c>
      <c r="F9" s="728">
        <f t="shared" si="0"/>
        <v>343.36799999999999</v>
      </c>
      <c r="G9" s="728">
        <f t="shared" si="1"/>
        <v>228.91199999999998</v>
      </c>
      <c r="H9" s="725">
        <f t="shared" si="2"/>
        <v>572.28</v>
      </c>
    </row>
    <row r="10" spans="1:8" s="488" customFormat="1" ht="28.5" customHeight="1" x14ac:dyDescent="0.35">
      <c r="A10" s="731">
        <v>6</v>
      </c>
      <c r="B10" s="727" t="s">
        <v>1130</v>
      </c>
      <c r="C10" s="725">
        <v>85219</v>
      </c>
      <c r="D10" s="725">
        <v>55607</v>
      </c>
      <c r="E10" s="745">
        <f>ROUND(((C10*83%*58*100)/1000+(D10*83%*58*150)/1000),0)</f>
        <v>811782</v>
      </c>
      <c r="F10" s="728">
        <f t="shared" si="0"/>
        <v>272.76</v>
      </c>
      <c r="G10" s="728">
        <f t="shared" si="1"/>
        <v>181.84000000000003</v>
      </c>
      <c r="H10" s="725">
        <f t="shared" si="2"/>
        <v>454.6</v>
      </c>
    </row>
    <row r="11" spans="1:8" ht="28.5" customHeight="1" x14ac:dyDescent="0.35">
      <c r="A11" s="725"/>
      <c r="B11" s="725" t="s">
        <v>1118</v>
      </c>
      <c r="C11" s="729">
        <f t="shared" ref="C11:H11" si="3">SUM(C5:C10)</f>
        <v>416568</v>
      </c>
      <c r="D11" s="729">
        <f t="shared" si="3"/>
        <v>264143</v>
      </c>
      <c r="E11" s="746">
        <f t="shared" si="3"/>
        <v>3866746</v>
      </c>
      <c r="F11" s="730">
        <f t="shared" si="3"/>
        <v>1299.222</v>
      </c>
      <c r="G11" s="730">
        <f t="shared" si="3"/>
        <v>866.14800000000002</v>
      </c>
      <c r="H11" s="730">
        <f t="shared" si="3"/>
        <v>2165.37</v>
      </c>
    </row>
    <row r="14" spans="1:8" ht="48" customHeight="1" x14ac:dyDescent="0.2"/>
    <row r="15" spans="1:8" ht="20.25" customHeight="1" x14ac:dyDescent="0.2">
      <c r="E15" s="1188" t="s">
        <v>13</v>
      </c>
      <c r="F15" s="1188"/>
      <c r="G15" s="1188"/>
      <c r="H15" s="1188"/>
    </row>
    <row r="16" spans="1:8" ht="20.25" customHeight="1" x14ac:dyDescent="0.2">
      <c r="E16" s="1188" t="s">
        <v>14</v>
      </c>
      <c r="F16" s="1188"/>
      <c r="G16" s="1188"/>
      <c r="H16" s="1188"/>
    </row>
    <row r="17" spans="1:8" ht="21.75" customHeight="1" x14ac:dyDescent="0.2">
      <c r="E17" s="1188" t="s">
        <v>1093</v>
      </c>
      <c r="F17" s="1188"/>
      <c r="G17" s="1188"/>
      <c r="H17" s="1188"/>
    </row>
    <row r="18" spans="1:8" ht="21" customHeight="1" x14ac:dyDescent="0.25">
      <c r="E18" s="742" t="s">
        <v>82</v>
      </c>
      <c r="F18" s="742"/>
      <c r="G18" s="742"/>
      <c r="H18" s="742"/>
    </row>
    <row r="23" spans="1:8" ht="28.5" customHeight="1" x14ac:dyDescent="0.35">
      <c r="A23" s="731">
        <v>6</v>
      </c>
      <c r="B23" s="727" t="s">
        <v>980</v>
      </c>
      <c r="C23" s="725">
        <v>46101</v>
      </c>
      <c r="D23" s="725">
        <v>31358</v>
      </c>
      <c r="E23" s="745">
        <f>ROUND(((C23*85%*58*100)/1000+(D23*85%*58*150)/1000),0)</f>
        <v>459170</v>
      </c>
      <c r="F23" s="728">
        <f>H23*60%</f>
        <v>154.28399999999999</v>
      </c>
      <c r="G23" s="728">
        <f>H23-F23</f>
        <v>102.85599999999999</v>
      </c>
      <c r="H23" s="725">
        <f>ROUND(E23*56/100000,2)</f>
        <v>257.14</v>
      </c>
    </row>
    <row r="24" spans="1:8" s="488" customFormat="1" ht="28.5" customHeight="1" x14ac:dyDescent="0.35">
      <c r="A24" s="731">
        <v>7</v>
      </c>
      <c r="B24" s="727" t="s">
        <v>971</v>
      </c>
      <c r="C24" s="725">
        <v>66454</v>
      </c>
      <c r="D24" s="725">
        <v>37185</v>
      </c>
      <c r="E24" s="745">
        <f>ROUND(((C24*85%*58*100)/1000+(D24*85%*58*150)/1000),0)</f>
        <v>602601</v>
      </c>
      <c r="F24" s="728">
        <f>H24*60%</f>
        <v>202.47599999999997</v>
      </c>
      <c r="G24" s="728">
        <f>H24-F24</f>
        <v>134.98400000000001</v>
      </c>
      <c r="H24" s="725">
        <f>ROUND(E24*56/100000,2)</f>
        <v>337.46</v>
      </c>
    </row>
  </sheetData>
  <mergeCells count="10">
    <mergeCell ref="E15:H15"/>
    <mergeCell ref="E16:H16"/>
    <mergeCell ref="E17:H17"/>
    <mergeCell ref="A3:A4"/>
    <mergeCell ref="E3:E4"/>
    <mergeCell ref="A2:H2"/>
    <mergeCell ref="A1:H1"/>
    <mergeCell ref="C3:D3"/>
    <mergeCell ref="B3:B4"/>
    <mergeCell ref="F3:H3"/>
  </mergeCells>
  <pageMargins left="0.7" right="0.7" top="0.39" bottom="0.75" header="0.3" footer="0.3"/>
  <pageSetup paperSize="9" scale="83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  <pageSetUpPr fitToPage="1"/>
  </sheetPr>
  <dimension ref="A2:H16"/>
  <sheetViews>
    <sheetView workbookViewId="0">
      <selection activeCell="A2" sqref="A2:H2"/>
    </sheetView>
  </sheetViews>
  <sheetFormatPr defaultRowHeight="12.75" x14ac:dyDescent="0.2"/>
  <cols>
    <col min="2" max="2" width="18.42578125" customWidth="1"/>
    <col min="3" max="3" width="10.85546875" style="488" customWidth="1"/>
    <col min="4" max="4" width="12.140625" customWidth="1"/>
    <col min="5" max="5" width="11.5703125" customWidth="1"/>
    <col min="6" max="6" width="12" customWidth="1"/>
    <col min="7" max="7" width="11.140625" customWidth="1"/>
    <col min="8" max="8" width="14.5703125" customWidth="1"/>
  </cols>
  <sheetData>
    <row r="2" spans="1:8" ht="25.5" customHeight="1" x14ac:dyDescent="0.35">
      <c r="A2" s="1190" t="s">
        <v>1135</v>
      </c>
      <c r="B2" s="1190"/>
      <c r="C2" s="1190"/>
      <c r="D2" s="1190"/>
      <c r="E2" s="1190"/>
      <c r="F2" s="1190"/>
      <c r="G2" s="1190"/>
      <c r="H2" s="1190"/>
    </row>
    <row r="3" spans="1:8" ht="34.5" customHeight="1" x14ac:dyDescent="0.2">
      <c r="A3" s="1191" t="s">
        <v>1120</v>
      </c>
      <c r="B3" s="1191"/>
      <c r="C3" s="1191"/>
      <c r="D3" s="1191"/>
      <c r="E3" s="1191"/>
      <c r="F3" s="1191"/>
      <c r="G3" s="1191"/>
      <c r="H3" s="1191"/>
    </row>
    <row r="4" spans="1:8" ht="36" customHeight="1" x14ac:dyDescent="0.2">
      <c r="A4" s="1197" t="s">
        <v>1136</v>
      </c>
      <c r="B4" s="1195" t="s">
        <v>1121</v>
      </c>
      <c r="C4" s="1193" t="s">
        <v>1139</v>
      </c>
      <c r="D4" s="1193" t="s">
        <v>1113</v>
      </c>
      <c r="E4" s="1193" t="s">
        <v>1124</v>
      </c>
      <c r="F4" s="1192" t="s">
        <v>1126</v>
      </c>
      <c r="G4" s="1192"/>
      <c r="H4" s="1192"/>
    </row>
    <row r="5" spans="1:8" s="488" customFormat="1" ht="25.5" customHeight="1" x14ac:dyDescent="0.2">
      <c r="A5" s="1198"/>
      <c r="B5" s="1196"/>
      <c r="C5" s="1194"/>
      <c r="D5" s="1194"/>
      <c r="E5" s="1194"/>
      <c r="F5" s="732" t="s">
        <v>1131</v>
      </c>
      <c r="G5" s="732" t="s">
        <v>1137</v>
      </c>
      <c r="H5" s="732" t="s">
        <v>1118</v>
      </c>
    </row>
    <row r="6" spans="1:8" ht="30" x14ac:dyDescent="0.2">
      <c r="A6" s="750">
        <v>1</v>
      </c>
      <c r="B6" s="715" t="s">
        <v>1122</v>
      </c>
      <c r="C6" s="749">
        <v>186</v>
      </c>
      <c r="D6" s="378">
        <v>10252</v>
      </c>
      <c r="E6" s="378">
        <f>ROUND(D6*75%,0)</f>
        <v>7689</v>
      </c>
      <c r="F6" s="716">
        <f>ROUND(H6*60%,2)</f>
        <v>48.44</v>
      </c>
      <c r="G6" s="716">
        <f>H6-F6</f>
        <v>32.290000000000006</v>
      </c>
      <c r="H6" s="378">
        <f>ROUND(E6*5*210/100000,2)</f>
        <v>80.73</v>
      </c>
    </row>
    <row r="7" spans="1:8" ht="30" x14ac:dyDescent="0.2">
      <c r="A7" s="750">
        <v>2</v>
      </c>
      <c r="B7" s="715" t="s">
        <v>1123</v>
      </c>
      <c r="C7" s="749">
        <v>272</v>
      </c>
      <c r="D7" s="378">
        <v>16999</v>
      </c>
      <c r="E7" s="378">
        <f>ROUND(D7*82%,0)</f>
        <v>13939</v>
      </c>
      <c r="F7" s="716">
        <f>ROUND(H7*60%,2)</f>
        <v>87.82</v>
      </c>
      <c r="G7" s="716">
        <f>H7-F7</f>
        <v>58.54000000000002</v>
      </c>
      <c r="H7" s="378">
        <f>ROUND(E7*5*210/100000,2)</f>
        <v>146.36000000000001</v>
      </c>
    </row>
    <row r="8" spans="1:8" ht="30" x14ac:dyDescent="0.2">
      <c r="A8" s="750">
        <v>3</v>
      </c>
      <c r="B8" s="715" t="s">
        <v>1125</v>
      </c>
      <c r="C8" s="749">
        <v>249</v>
      </c>
      <c r="D8" s="378">
        <v>10193</v>
      </c>
      <c r="E8" s="378">
        <f>ROUND(D8*98%,0)</f>
        <v>9989</v>
      </c>
      <c r="F8" s="716">
        <f>ROUND(H8*60%,2)</f>
        <v>62.93</v>
      </c>
      <c r="G8" s="716">
        <f>H8-F8</f>
        <v>41.949999999999996</v>
      </c>
      <c r="H8" s="378">
        <f>ROUND(E8*5*210/100000,2)</f>
        <v>104.88</v>
      </c>
    </row>
    <row r="9" spans="1:8" ht="18" x14ac:dyDescent="0.25">
      <c r="A9" s="9"/>
      <c r="B9" s="751" t="s">
        <v>1118</v>
      </c>
      <c r="C9" s="747">
        <f t="shared" ref="C9:H9" si="0">SUM(C6:C8)</f>
        <v>707</v>
      </c>
      <c r="D9" s="119">
        <f t="shared" si="0"/>
        <v>37444</v>
      </c>
      <c r="E9" s="119">
        <f t="shared" si="0"/>
        <v>31617</v>
      </c>
      <c r="F9" s="714">
        <f t="shared" si="0"/>
        <v>199.19</v>
      </c>
      <c r="G9" s="714">
        <f t="shared" si="0"/>
        <v>132.78000000000003</v>
      </c>
      <c r="H9" s="714">
        <f t="shared" si="0"/>
        <v>331.97</v>
      </c>
    </row>
    <row r="12" spans="1:8" ht="26.25" customHeight="1" x14ac:dyDescent="0.2"/>
    <row r="13" spans="1:8" x14ac:dyDescent="0.2">
      <c r="F13" s="1175" t="s">
        <v>13</v>
      </c>
      <c r="G13" s="1175"/>
      <c r="H13" s="1175"/>
    </row>
    <row r="14" spans="1:8" ht="12.75" customHeight="1" x14ac:dyDescent="0.2">
      <c r="F14" s="1175" t="s">
        <v>14</v>
      </c>
      <c r="G14" s="1175"/>
      <c r="H14" s="1175"/>
    </row>
    <row r="15" spans="1:8" ht="29.25" customHeight="1" x14ac:dyDescent="0.2">
      <c r="F15" s="1175" t="s">
        <v>1093</v>
      </c>
      <c r="G15" s="1175"/>
      <c r="H15" s="1175"/>
    </row>
    <row r="16" spans="1:8" x14ac:dyDescent="0.2">
      <c r="F16" s="508" t="s">
        <v>82</v>
      </c>
      <c r="G16" s="508"/>
    </row>
  </sheetData>
  <mergeCells count="11">
    <mergeCell ref="A2:H2"/>
    <mergeCell ref="A3:H3"/>
    <mergeCell ref="F15:H15"/>
    <mergeCell ref="F14:H14"/>
    <mergeCell ref="F13:H13"/>
    <mergeCell ref="F4:H4"/>
    <mergeCell ref="E4:E5"/>
    <mergeCell ref="D4:D5"/>
    <mergeCell ref="B4:B5"/>
    <mergeCell ref="A4:A5"/>
    <mergeCell ref="C4:C5"/>
  </mergeCells>
  <pageMargins left="0.89" right="0.7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  <pageSetUpPr fitToPage="1"/>
  </sheetPr>
  <dimension ref="A2:H17"/>
  <sheetViews>
    <sheetView zoomScale="82" zoomScaleNormal="82" workbookViewId="0">
      <selection activeCell="L9" sqref="L9"/>
    </sheetView>
  </sheetViews>
  <sheetFormatPr defaultRowHeight="12.75" x14ac:dyDescent="0.2"/>
  <cols>
    <col min="2" max="2" width="23.7109375" customWidth="1"/>
    <col min="3" max="3" width="15.7109375" style="488" customWidth="1"/>
    <col min="4" max="4" width="14.42578125" customWidth="1"/>
    <col min="5" max="5" width="15.42578125" customWidth="1"/>
    <col min="6" max="6" width="20" customWidth="1"/>
    <col min="7" max="7" width="21" customWidth="1"/>
    <col min="8" max="8" width="23.7109375" customWidth="1"/>
  </cols>
  <sheetData>
    <row r="2" spans="1:8" ht="32.25" customHeight="1" x14ac:dyDescent="0.2">
      <c r="A2" s="1199" t="s">
        <v>1135</v>
      </c>
      <c r="B2" s="1199"/>
      <c r="C2" s="1199"/>
      <c r="D2" s="1199"/>
      <c r="E2" s="1199"/>
      <c r="F2" s="1199"/>
      <c r="G2" s="1199"/>
      <c r="H2" s="1199"/>
    </row>
    <row r="3" spans="1:8" ht="30" customHeight="1" x14ac:dyDescent="0.2">
      <c r="A3" s="1206" t="s">
        <v>1138</v>
      </c>
      <c r="B3" s="1206"/>
      <c r="C3" s="1206"/>
      <c r="D3" s="1206"/>
      <c r="E3" s="1206"/>
      <c r="F3" s="1206"/>
      <c r="G3" s="1206"/>
      <c r="H3" s="1206"/>
    </row>
    <row r="4" spans="1:8" ht="56.25" customHeight="1" x14ac:dyDescent="0.2">
      <c r="A4" s="1201" t="s">
        <v>1133</v>
      </c>
      <c r="B4" s="1202" t="s">
        <v>1121</v>
      </c>
      <c r="C4" s="1207" t="s">
        <v>1139</v>
      </c>
      <c r="D4" s="1202" t="s">
        <v>1113</v>
      </c>
      <c r="E4" s="1204" t="s">
        <v>1124</v>
      </c>
      <c r="F4" s="1200" t="s">
        <v>1129</v>
      </c>
      <c r="G4" s="1200"/>
      <c r="H4" s="1200"/>
    </row>
    <row r="5" spans="1:8" s="488" customFormat="1" ht="27" customHeight="1" x14ac:dyDescent="0.2">
      <c r="A5" s="1201"/>
      <c r="B5" s="1203"/>
      <c r="C5" s="1208"/>
      <c r="D5" s="1203"/>
      <c r="E5" s="1205"/>
      <c r="F5" s="741" t="s">
        <v>1131</v>
      </c>
      <c r="G5" s="741" t="s">
        <v>1137</v>
      </c>
      <c r="H5" s="741" t="s">
        <v>1118</v>
      </c>
    </row>
    <row r="6" spans="1:8" ht="40.5" x14ac:dyDescent="0.2">
      <c r="A6" s="734">
        <v>1</v>
      </c>
      <c r="B6" s="735" t="s">
        <v>1127</v>
      </c>
      <c r="C6" s="748">
        <v>242</v>
      </c>
      <c r="D6" s="733">
        <v>11722</v>
      </c>
      <c r="E6" s="733">
        <f>ROUND(D6*90%,0)</f>
        <v>10550</v>
      </c>
      <c r="F6" s="736">
        <f>ROUND(H6*60%,2)</f>
        <v>22.79</v>
      </c>
      <c r="G6" s="736">
        <f>H6-F6</f>
        <v>15.189999999999998</v>
      </c>
      <c r="H6" s="733">
        <f>ROUND(E6*6*60/100000,2)</f>
        <v>37.979999999999997</v>
      </c>
    </row>
    <row r="7" spans="1:8" ht="42.75" customHeight="1" x14ac:dyDescent="0.5">
      <c r="A7" s="734">
        <v>2</v>
      </c>
      <c r="B7" s="737" t="s">
        <v>1128</v>
      </c>
      <c r="C7" s="748">
        <v>311</v>
      </c>
      <c r="D7" s="733">
        <v>15447</v>
      </c>
      <c r="E7" s="733">
        <f>ROUND(D7*100%,0)</f>
        <v>15447</v>
      </c>
      <c r="F7" s="736">
        <f>ROUND(H7*60%,2)</f>
        <v>33.369999999999997</v>
      </c>
      <c r="G7" s="736">
        <f>H7-F7</f>
        <v>22.240000000000002</v>
      </c>
      <c r="H7" s="733">
        <f>ROUND(E7*6*60/100000,2)</f>
        <v>55.61</v>
      </c>
    </row>
    <row r="8" spans="1:8" ht="33" customHeight="1" x14ac:dyDescent="0.2">
      <c r="A8" s="734">
        <v>3</v>
      </c>
      <c r="B8" s="735" t="s">
        <v>1191</v>
      </c>
      <c r="C8" s="748">
        <v>230</v>
      </c>
      <c r="D8" s="733">
        <v>20457</v>
      </c>
      <c r="E8" s="733">
        <f>ROUND(D8*95%,0)</f>
        <v>19434</v>
      </c>
      <c r="F8" s="736">
        <f>ROUND(H8*60%,2)</f>
        <v>41.98</v>
      </c>
      <c r="G8" s="736">
        <f>H8-F8</f>
        <v>27.979999999999997</v>
      </c>
      <c r="H8" s="733">
        <f>ROUND(E8*6*60/100000,2)</f>
        <v>69.959999999999994</v>
      </c>
    </row>
    <row r="9" spans="1:8" ht="20.25" x14ac:dyDescent="0.3">
      <c r="A9" s="740"/>
      <c r="B9" s="733" t="s">
        <v>1118</v>
      </c>
      <c r="C9" s="747">
        <f t="shared" ref="C9:H9" si="0">SUM(C6:C8)</f>
        <v>783</v>
      </c>
      <c r="D9" s="738">
        <f t="shared" si="0"/>
        <v>47626</v>
      </c>
      <c r="E9" s="738">
        <f t="shared" si="0"/>
        <v>45431</v>
      </c>
      <c r="F9" s="739">
        <f t="shared" si="0"/>
        <v>98.139999999999986</v>
      </c>
      <c r="G9" s="739">
        <f t="shared" si="0"/>
        <v>65.41</v>
      </c>
      <c r="H9" s="739">
        <f t="shared" si="0"/>
        <v>163.55000000000001</v>
      </c>
    </row>
    <row r="14" spans="1:8" x14ac:dyDescent="0.2">
      <c r="G14" s="1175" t="s">
        <v>13</v>
      </c>
      <c r="H14" s="1175"/>
    </row>
    <row r="15" spans="1:8" x14ac:dyDescent="0.2">
      <c r="G15" s="1175" t="s">
        <v>14</v>
      </c>
      <c r="H15" s="1175"/>
    </row>
    <row r="16" spans="1:8" x14ac:dyDescent="0.2">
      <c r="G16" s="1175" t="s">
        <v>1093</v>
      </c>
      <c r="H16" s="1175"/>
    </row>
    <row r="17" spans="7:8" x14ac:dyDescent="0.2">
      <c r="G17" s="508" t="s">
        <v>82</v>
      </c>
      <c r="H17" s="508"/>
    </row>
  </sheetData>
  <mergeCells count="11">
    <mergeCell ref="A2:H2"/>
    <mergeCell ref="G14:H14"/>
    <mergeCell ref="G15:H15"/>
    <mergeCell ref="G16:H16"/>
    <mergeCell ref="F4:H4"/>
    <mergeCell ref="A4:A5"/>
    <mergeCell ref="B4:B5"/>
    <mergeCell ref="D4:D5"/>
    <mergeCell ref="E4:E5"/>
    <mergeCell ref="A3:H3"/>
    <mergeCell ref="C4:C5"/>
  </mergeCells>
  <pageMargins left="0.7" right="0.7" top="0.75" bottom="0.75" header="0.3" footer="0.3"/>
  <pageSetup paperSize="9" scale="93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Y26"/>
  <sheetViews>
    <sheetView zoomScale="73" zoomScaleNormal="73" workbookViewId="0">
      <selection activeCell="G6" sqref="G6"/>
    </sheetView>
  </sheetViews>
  <sheetFormatPr defaultRowHeight="12.75" x14ac:dyDescent="0.2"/>
  <cols>
    <col min="1" max="1" width="7.5703125" customWidth="1"/>
    <col min="2" max="2" width="16.42578125" customWidth="1"/>
    <col min="3" max="3" width="10.85546875" customWidth="1"/>
    <col min="4" max="4" width="10.7109375" customWidth="1"/>
    <col min="5" max="5" width="9.5703125" customWidth="1"/>
    <col min="6" max="8" width="12" bestFit="1" customWidth="1"/>
    <col min="9" max="9" width="10.28515625" customWidth="1"/>
    <col min="11" max="11" width="11.42578125" customWidth="1"/>
    <col min="12" max="12" width="14.42578125" customWidth="1"/>
    <col min="13" max="13" width="12.7109375" customWidth="1"/>
    <col min="14" max="14" width="12" bestFit="1" customWidth="1"/>
  </cols>
  <sheetData>
    <row r="1" spans="1:25" ht="13.5" thickBot="1" x14ac:dyDescent="0.25"/>
    <row r="2" spans="1:25" ht="21.75" thickBot="1" x14ac:dyDescent="0.4">
      <c r="A2" s="1223" t="s">
        <v>2</v>
      </c>
      <c r="B2" s="1223" t="s">
        <v>107</v>
      </c>
      <c r="C2" s="1225" t="s">
        <v>23</v>
      </c>
      <c r="D2" s="1226"/>
      <c r="E2" s="1226"/>
      <c r="F2" s="1226"/>
      <c r="G2" s="1226"/>
      <c r="H2" s="1227"/>
      <c r="I2" s="1228" t="s">
        <v>24</v>
      </c>
      <c r="J2" s="1229"/>
      <c r="K2" s="1229"/>
      <c r="L2" s="1229"/>
      <c r="M2" s="1229"/>
      <c r="N2" s="1230"/>
      <c r="Q2" s="1216" t="s">
        <v>1159</v>
      </c>
      <c r="R2" s="1217"/>
      <c r="S2" s="1217"/>
      <c r="T2" s="1217"/>
      <c r="U2" s="1217"/>
      <c r="V2" s="1217"/>
      <c r="W2" s="1217"/>
      <c r="X2" s="1217"/>
      <c r="Y2" s="1218"/>
    </row>
    <row r="3" spans="1:25" ht="57" thickBot="1" x14ac:dyDescent="0.35">
      <c r="A3" s="1224"/>
      <c r="B3" s="1224"/>
      <c r="C3" s="777" t="s">
        <v>1145</v>
      </c>
      <c r="D3" s="777" t="s">
        <v>1146</v>
      </c>
      <c r="E3" s="777" t="s">
        <v>1147</v>
      </c>
      <c r="F3" s="777" t="s">
        <v>174</v>
      </c>
      <c r="G3" s="777" t="s">
        <v>200</v>
      </c>
      <c r="H3" s="777" t="s">
        <v>18</v>
      </c>
      <c r="I3" s="778" t="s">
        <v>1145</v>
      </c>
      <c r="J3" s="778" t="s">
        <v>1148</v>
      </c>
      <c r="K3" s="778" t="s">
        <v>1149</v>
      </c>
      <c r="L3" s="778" t="s">
        <v>174</v>
      </c>
      <c r="M3" s="778" t="s">
        <v>200</v>
      </c>
      <c r="N3" s="778" t="s">
        <v>18</v>
      </c>
      <c r="Q3" s="1219" t="s">
        <v>1160</v>
      </c>
      <c r="R3" s="1221" t="s">
        <v>1161</v>
      </c>
      <c r="S3" s="1216" t="s">
        <v>1114</v>
      </c>
      <c r="T3" s="1217"/>
      <c r="U3" s="1218"/>
      <c r="V3" s="1216" t="s">
        <v>1162</v>
      </c>
      <c r="W3" s="1217"/>
      <c r="X3" s="1218"/>
      <c r="Y3" s="1221" t="s">
        <v>1163</v>
      </c>
    </row>
    <row r="4" spans="1:25" ht="41.25" thickBot="1" x14ac:dyDescent="0.3">
      <c r="A4" s="791">
        <v>1</v>
      </c>
      <c r="B4" s="790" t="s">
        <v>1150</v>
      </c>
      <c r="C4" s="1231" t="s">
        <v>1158</v>
      </c>
      <c r="D4" s="1232">
        <v>62056</v>
      </c>
      <c r="E4" s="1231">
        <v>246</v>
      </c>
      <c r="F4" s="779">
        <v>44499.85</v>
      </c>
      <c r="G4" s="779"/>
      <c r="H4" s="779">
        <v>44499.85</v>
      </c>
      <c r="I4" s="1233" t="s">
        <v>1184</v>
      </c>
      <c r="J4" s="1233">
        <v>31364</v>
      </c>
      <c r="K4" s="1234">
        <v>246</v>
      </c>
      <c r="L4" s="780">
        <v>40626.129999999997</v>
      </c>
      <c r="M4" s="780"/>
      <c r="N4" s="780">
        <v>40626.129999999997</v>
      </c>
      <c r="Q4" s="1220"/>
      <c r="R4" s="1222"/>
      <c r="S4" s="767" t="s">
        <v>1131</v>
      </c>
      <c r="T4" s="767" t="s">
        <v>1137</v>
      </c>
      <c r="U4" s="767" t="s">
        <v>1118</v>
      </c>
      <c r="V4" s="767" t="s">
        <v>1131</v>
      </c>
      <c r="W4" s="767" t="s">
        <v>1137</v>
      </c>
      <c r="X4" s="767" t="s">
        <v>1118</v>
      </c>
      <c r="Y4" s="1222"/>
    </row>
    <row r="5" spans="1:25" ht="54.75" thickBot="1" x14ac:dyDescent="0.3">
      <c r="A5" s="791">
        <v>2</v>
      </c>
      <c r="B5" s="790" t="s">
        <v>1151</v>
      </c>
      <c r="C5" s="1231"/>
      <c r="D5" s="1231"/>
      <c r="E5" s="1231"/>
      <c r="F5" s="787">
        <v>1335</v>
      </c>
      <c r="G5" s="787"/>
      <c r="H5" s="787">
        <v>1335</v>
      </c>
      <c r="I5" s="1234"/>
      <c r="J5" s="1234"/>
      <c r="K5" s="1234"/>
      <c r="L5" s="780">
        <v>1218.78</v>
      </c>
      <c r="M5" s="780"/>
      <c r="N5" s="780">
        <v>1218.78</v>
      </c>
      <c r="P5">
        <v>1</v>
      </c>
      <c r="Q5" s="768" t="s">
        <v>1164</v>
      </c>
      <c r="R5" s="769" t="s">
        <v>1165</v>
      </c>
      <c r="S5" s="770">
        <v>44499.85</v>
      </c>
      <c r="T5" s="770"/>
      <c r="U5" s="770">
        <v>44499.85</v>
      </c>
      <c r="V5" s="770">
        <v>40626.129999999997</v>
      </c>
      <c r="W5" s="770"/>
      <c r="X5" s="770">
        <v>40626.129999999997</v>
      </c>
      <c r="Y5" s="770">
        <v>85125.98</v>
      </c>
    </row>
    <row r="6" spans="1:25" ht="54.75" thickBot="1" x14ac:dyDescent="0.3">
      <c r="A6" s="791">
        <v>3</v>
      </c>
      <c r="B6" s="790" t="s">
        <v>1152</v>
      </c>
      <c r="C6" s="1231"/>
      <c r="D6" s="1231"/>
      <c r="E6" s="1231"/>
      <c r="F6" s="779">
        <v>585.16999999999996</v>
      </c>
      <c r="G6" s="779"/>
      <c r="H6" s="779">
        <v>585.16999999999996</v>
      </c>
      <c r="I6" s="1234"/>
      <c r="J6" s="1234"/>
      <c r="K6" s="1234"/>
      <c r="L6" s="780">
        <v>534.23</v>
      </c>
      <c r="M6" s="780"/>
      <c r="N6" s="780">
        <v>534.23</v>
      </c>
      <c r="P6">
        <v>2</v>
      </c>
      <c r="Q6" s="768" t="s">
        <v>1166</v>
      </c>
      <c r="R6" s="768" t="s">
        <v>1167</v>
      </c>
      <c r="S6" s="770">
        <v>1335</v>
      </c>
      <c r="T6" s="770"/>
      <c r="U6" s="770">
        <v>1335</v>
      </c>
      <c r="V6" s="770">
        <v>1218.78</v>
      </c>
      <c r="W6" s="770"/>
      <c r="X6" s="770">
        <v>1218.78</v>
      </c>
      <c r="Y6" s="770">
        <v>2553.7800000000002</v>
      </c>
    </row>
    <row r="7" spans="1:25" ht="36.75" thickBot="1" x14ac:dyDescent="0.3">
      <c r="A7" s="791">
        <v>4</v>
      </c>
      <c r="B7" s="790" t="s">
        <v>123</v>
      </c>
      <c r="C7" s="1231"/>
      <c r="D7" s="1231"/>
      <c r="E7" s="1231"/>
      <c r="F7" s="779">
        <v>13260.96</v>
      </c>
      <c r="G7" s="779">
        <v>10902.46</v>
      </c>
      <c r="H7" s="779">
        <v>24163.42</v>
      </c>
      <c r="I7" s="1234"/>
      <c r="J7" s="1234"/>
      <c r="K7" s="1234"/>
      <c r="L7" s="780">
        <v>12106.59</v>
      </c>
      <c r="M7" s="780">
        <v>8071.06</v>
      </c>
      <c r="N7" s="780">
        <v>20177.650000000001</v>
      </c>
      <c r="P7" s="772">
        <v>3</v>
      </c>
      <c r="Q7" s="768" t="s">
        <v>1168</v>
      </c>
      <c r="R7" s="768" t="s">
        <v>1167</v>
      </c>
      <c r="S7" s="770">
        <v>585.16999999999996</v>
      </c>
      <c r="T7" s="770"/>
      <c r="U7" s="770">
        <v>585.16999999999996</v>
      </c>
      <c r="V7" s="770">
        <v>534.23</v>
      </c>
      <c r="W7" s="770"/>
      <c r="X7" s="770">
        <v>534.23</v>
      </c>
      <c r="Y7" s="770">
        <v>1119.4000000000001</v>
      </c>
    </row>
    <row r="8" spans="1:25" ht="48" thickBot="1" x14ac:dyDescent="0.3">
      <c r="A8" s="791">
        <v>5</v>
      </c>
      <c r="B8" s="790" t="s">
        <v>1153</v>
      </c>
      <c r="C8" s="1231"/>
      <c r="D8" s="1231"/>
      <c r="E8" s="1231"/>
      <c r="F8" s="779">
        <v>3723.36</v>
      </c>
      <c r="G8" s="779">
        <v>3723.36</v>
      </c>
      <c r="H8" s="779">
        <v>7446.72</v>
      </c>
      <c r="I8" s="1234"/>
      <c r="J8" s="1234"/>
      <c r="K8" s="1234"/>
      <c r="L8" s="780">
        <v>1881.84</v>
      </c>
      <c r="M8" s="780">
        <v>1881.84</v>
      </c>
      <c r="N8" s="780">
        <v>3763.68</v>
      </c>
      <c r="P8" s="772">
        <v>4</v>
      </c>
      <c r="Q8" s="768" t="s">
        <v>1169</v>
      </c>
      <c r="R8" s="768" t="s">
        <v>1167</v>
      </c>
      <c r="S8" s="770">
        <v>13260.96</v>
      </c>
      <c r="T8" s="770">
        <v>10902.46</v>
      </c>
      <c r="U8" s="770">
        <v>24163.42</v>
      </c>
      <c r="V8" s="770">
        <v>12106.59</v>
      </c>
      <c r="W8" s="770">
        <v>8071.06</v>
      </c>
      <c r="X8" s="770">
        <v>20177.650000000001</v>
      </c>
      <c r="Y8" s="770">
        <v>44341.07</v>
      </c>
    </row>
    <row r="9" spans="1:25" ht="34.5" customHeight="1" thickBot="1" x14ac:dyDescent="0.3">
      <c r="A9" s="791">
        <v>6</v>
      </c>
      <c r="B9" s="790" t="s">
        <v>125</v>
      </c>
      <c r="C9" s="1231"/>
      <c r="D9" s="1231"/>
      <c r="E9" s="1231"/>
      <c r="F9" s="779">
        <v>510.42</v>
      </c>
      <c r="G9" s="779"/>
      <c r="H9" s="779">
        <v>510.42</v>
      </c>
      <c r="I9" s="1234"/>
      <c r="J9" s="1234"/>
      <c r="K9" s="1234"/>
      <c r="L9" s="780">
        <v>425.02</v>
      </c>
      <c r="M9" s="780"/>
      <c r="N9" s="780">
        <v>425.02</v>
      </c>
      <c r="P9">
        <v>5</v>
      </c>
      <c r="Q9" s="768" t="s">
        <v>1170</v>
      </c>
      <c r="R9" s="768" t="s">
        <v>1167</v>
      </c>
      <c r="S9" s="770">
        <v>3723.36</v>
      </c>
      <c r="T9" s="770">
        <v>3723.36</v>
      </c>
      <c r="U9" s="770">
        <v>7446.72</v>
      </c>
      <c r="V9" s="770">
        <v>1881.84</v>
      </c>
      <c r="W9" s="770">
        <v>1881.84</v>
      </c>
      <c r="X9" s="770">
        <v>3763.68</v>
      </c>
      <c r="Y9" s="770">
        <v>11210.4</v>
      </c>
    </row>
    <row r="10" spans="1:25" ht="36.75" thickBot="1" x14ac:dyDescent="0.3">
      <c r="A10" s="791">
        <v>7</v>
      </c>
      <c r="B10" s="790" t="s">
        <v>1154</v>
      </c>
      <c r="C10" s="1231"/>
      <c r="D10" s="1231"/>
      <c r="E10" s="1231"/>
      <c r="F10" s="781">
        <v>0</v>
      </c>
      <c r="G10" s="781">
        <v>0</v>
      </c>
      <c r="H10" s="781">
        <v>0</v>
      </c>
      <c r="I10" s="1234"/>
      <c r="J10" s="1234"/>
      <c r="K10" s="1234"/>
      <c r="L10" s="780">
        <v>0</v>
      </c>
      <c r="M10" s="780">
        <v>0</v>
      </c>
      <c r="N10" s="780">
        <v>0</v>
      </c>
      <c r="P10" s="772">
        <v>6</v>
      </c>
      <c r="Q10" s="768" t="s">
        <v>1171</v>
      </c>
      <c r="R10" s="768" t="s">
        <v>1167</v>
      </c>
      <c r="S10" s="770">
        <v>510.42</v>
      </c>
      <c r="T10" s="770"/>
      <c r="U10" s="770">
        <v>510.42</v>
      </c>
      <c r="V10" s="770">
        <v>425.02</v>
      </c>
      <c r="W10" s="770"/>
      <c r="X10" s="770">
        <v>425.02</v>
      </c>
      <c r="Y10" s="770">
        <v>935.44</v>
      </c>
    </row>
    <row r="11" spans="1:25" ht="72.75" thickBot="1" x14ac:dyDescent="0.3">
      <c r="A11" s="791">
        <v>8</v>
      </c>
      <c r="B11" s="790" t="s">
        <v>1155</v>
      </c>
      <c r="C11" s="1231"/>
      <c r="D11" s="1231"/>
      <c r="E11" s="1231"/>
      <c r="F11" s="779">
        <v>1550.25</v>
      </c>
      <c r="G11" s="779">
        <v>1033.5</v>
      </c>
      <c r="H11" s="779">
        <v>2583.75</v>
      </c>
      <c r="I11" s="1234"/>
      <c r="J11" s="1234"/>
      <c r="K11" s="1234"/>
      <c r="L11" s="780">
        <v>0</v>
      </c>
      <c r="M11" s="780">
        <v>0</v>
      </c>
      <c r="N11" s="780">
        <v>0</v>
      </c>
      <c r="Q11" s="768" t="s">
        <v>1172</v>
      </c>
      <c r="R11" s="768" t="s">
        <v>1167</v>
      </c>
      <c r="S11" s="770">
        <v>326.58</v>
      </c>
      <c r="T11" s="770">
        <v>217.72</v>
      </c>
      <c r="U11" s="770">
        <v>544.29999999999995</v>
      </c>
      <c r="V11" s="770"/>
      <c r="W11" s="770"/>
      <c r="X11" s="770"/>
      <c r="Y11" s="770">
        <v>544.29999999999995</v>
      </c>
    </row>
    <row r="12" spans="1:25" ht="54" customHeight="1" thickBot="1" x14ac:dyDescent="0.35">
      <c r="A12" s="791">
        <v>9</v>
      </c>
      <c r="B12" s="790" t="s">
        <v>1156</v>
      </c>
      <c r="C12" s="1231"/>
      <c r="D12" s="1231"/>
      <c r="E12" s="1231"/>
      <c r="F12" s="779">
        <v>326.58</v>
      </c>
      <c r="G12" s="779">
        <v>217.72</v>
      </c>
      <c r="H12" s="779">
        <v>544.29999999999995</v>
      </c>
      <c r="I12" s="1234"/>
      <c r="J12" s="1234"/>
      <c r="K12" s="1234"/>
      <c r="L12" s="780"/>
      <c r="M12" s="780"/>
      <c r="N12" s="780"/>
      <c r="Q12" s="768" t="s">
        <v>1173</v>
      </c>
      <c r="R12" s="768" t="s">
        <v>1167</v>
      </c>
      <c r="S12" s="770">
        <v>1550.25</v>
      </c>
      <c r="T12" s="770">
        <v>1033.5</v>
      </c>
      <c r="U12" s="770">
        <v>2583.75</v>
      </c>
      <c r="V12" s="771"/>
      <c r="W12" s="771"/>
      <c r="X12" s="771"/>
      <c r="Y12" s="770">
        <v>2583.75</v>
      </c>
    </row>
    <row r="13" spans="1:25" s="488" customFormat="1" ht="47.25" customHeight="1" thickBot="1" x14ac:dyDescent="0.35">
      <c r="A13" s="791">
        <v>10</v>
      </c>
      <c r="B13" s="790" t="s">
        <v>1183</v>
      </c>
      <c r="C13" s="783" t="s">
        <v>1158</v>
      </c>
      <c r="D13" s="781"/>
      <c r="E13" s="779">
        <v>45</v>
      </c>
      <c r="F13" s="779">
        <v>2777.04</v>
      </c>
      <c r="G13" s="779">
        <v>1994.35</v>
      </c>
      <c r="H13" s="779">
        <v>4771.3899999999994</v>
      </c>
      <c r="I13" s="782" t="s">
        <v>1184</v>
      </c>
      <c r="J13" s="782"/>
      <c r="K13" s="780">
        <v>45</v>
      </c>
      <c r="L13" s="792">
        <v>2535.2999999999997</v>
      </c>
      <c r="M13" s="792">
        <v>1476.41</v>
      </c>
      <c r="N13" s="792">
        <v>4011.71</v>
      </c>
      <c r="Q13" s="768"/>
      <c r="R13" s="768"/>
      <c r="S13" s="770"/>
      <c r="T13" s="770"/>
      <c r="U13" s="770"/>
      <c r="V13" s="771"/>
      <c r="W13" s="771"/>
      <c r="X13" s="771"/>
      <c r="Y13" s="770"/>
    </row>
    <row r="14" spans="1:25" ht="44.25" customHeight="1" thickBot="1" x14ac:dyDescent="0.25">
      <c r="A14" s="791"/>
      <c r="B14" s="784" t="s">
        <v>30</v>
      </c>
      <c r="C14" s="785"/>
      <c r="D14" s="785"/>
      <c r="E14" s="785"/>
      <c r="F14" s="788">
        <f>SUM(F5:F13)</f>
        <v>24068.78</v>
      </c>
      <c r="G14" s="788">
        <f>SUM(G5:G13)</f>
        <v>17871.39</v>
      </c>
      <c r="H14" s="788">
        <f>SUM(H5:H13)</f>
        <v>41940.17</v>
      </c>
      <c r="I14" s="786"/>
      <c r="J14" s="786"/>
      <c r="K14" s="786"/>
      <c r="L14" s="793">
        <f>SUM(L5:L13)</f>
        <v>18701.760000000002</v>
      </c>
      <c r="M14" s="793">
        <f>SUM(M5:M13)</f>
        <v>11429.31</v>
      </c>
      <c r="N14" s="793">
        <f>SUM(N5:N13)</f>
        <v>30131.07</v>
      </c>
      <c r="Q14" s="768" t="s">
        <v>1174</v>
      </c>
      <c r="R14" s="768" t="s">
        <v>1167</v>
      </c>
      <c r="S14" s="770">
        <v>970.75</v>
      </c>
      <c r="T14" s="770">
        <v>731.29</v>
      </c>
      <c r="U14" s="770">
        <v>1702.04</v>
      </c>
      <c r="V14" s="770">
        <v>808.32</v>
      </c>
      <c r="W14" s="770">
        <v>497.65</v>
      </c>
      <c r="X14" s="770">
        <v>1305.97</v>
      </c>
      <c r="Y14" s="770">
        <v>3008</v>
      </c>
    </row>
    <row r="15" spans="1:25" ht="19.5" thickBot="1" x14ac:dyDescent="0.35">
      <c r="A15" s="791">
        <v>11</v>
      </c>
      <c r="B15" s="789" t="s">
        <v>1157</v>
      </c>
      <c r="C15" s="781"/>
      <c r="D15" s="781"/>
      <c r="E15" s="781"/>
      <c r="F15" s="787">
        <v>1080</v>
      </c>
      <c r="G15" s="787">
        <v>720</v>
      </c>
      <c r="H15" s="787">
        <f>SUM(F15:G15)</f>
        <v>1800</v>
      </c>
      <c r="I15" s="782"/>
      <c r="J15" s="782"/>
      <c r="K15" s="782"/>
      <c r="L15" s="794">
        <v>898.8</v>
      </c>
      <c r="M15" s="794">
        <v>599.20000000000005</v>
      </c>
      <c r="N15" s="794">
        <f>SUM(L15:M15)</f>
        <v>1498</v>
      </c>
      <c r="Q15" s="1209" t="s">
        <v>1175</v>
      </c>
      <c r="R15" s="1210"/>
      <c r="S15" s="770">
        <v>21291.74</v>
      </c>
      <c r="T15" s="770">
        <v>15877.04</v>
      </c>
      <c r="U15" s="770">
        <v>37168.78</v>
      </c>
      <c r="V15" s="770">
        <v>16166.46</v>
      </c>
      <c r="W15" s="770">
        <v>9952.9</v>
      </c>
      <c r="X15" s="770">
        <v>26119.360000000001</v>
      </c>
      <c r="Y15" s="770">
        <v>63288.14</v>
      </c>
    </row>
    <row r="16" spans="1:25" ht="19.5" thickBot="1" x14ac:dyDescent="0.3">
      <c r="A16" s="791"/>
      <c r="B16" s="776" t="s">
        <v>18</v>
      </c>
      <c r="C16" s="781"/>
      <c r="D16" s="781"/>
      <c r="E16" s="781"/>
      <c r="F16" s="788">
        <f>SUM(F14:F15)</f>
        <v>25148.78</v>
      </c>
      <c r="G16" s="788">
        <f t="shared" ref="G16:H16" si="0">SUM(G14:G15)</f>
        <v>18591.39</v>
      </c>
      <c r="H16" s="788">
        <f t="shared" si="0"/>
        <v>43740.17</v>
      </c>
      <c r="I16" s="786"/>
      <c r="J16" s="786"/>
      <c r="K16" s="786"/>
      <c r="L16" s="793">
        <f>SUM(L14:L15)</f>
        <v>19600.560000000001</v>
      </c>
      <c r="M16" s="793">
        <f t="shared" ref="M16:N16" si="1">SUM(M14:M15)</f>
        <v>12028.51</v>
      </c>
      <c r="N16" s="793">
        <f t="shared" si="1"/>
        <v>31629.07</v>
      </c>
    </row>
    <row r="18" spans="2:19" x14ac:dyDescent="0.2">
      <c r="H18">
        <f>H14*5%</f>
        <v>2097.0084999999999</v>
      </c>
      <c r="N18" s="488">
        <f>N14*5%</f>
        <v>1506.5535</v>
      </c>
    </row>
    <row r="21" spans="2:19" ht="13.5" thickBot="1" x14ac:dyDescent="0.25"/>
    <row r="22" spans="2:19" ht="138.75" customHeight="1" thickBot="1" x14ac:dyDescent="0.25">
      <c r="B22" s="1211" t="s">
        <v>1176</v>
      </c>
      <c r="C22" s="1211" t="s">
        <v>1177</v>
      </c>
      <c r="D22" s="1211" t="s">
        <v>1178</v>
      </c>
      <c r="E22" s="1211" t="s">
        <v>1179</v>
      </c>
      <c r="F22" s="1211" t="s">
        <v>1180</v>
      </c>
      <c r="G22" s="1213" t="s">
        <v>1181</v>
      </c>
      <c r="H22" s="1214"/>
      <c r="I22" s="1215"/>
    </row>
    <row r="23" spans="2:19" ht="47.25" thickBot="1" x14ac:dyDescent="0.25">
      <c r="B23" s="1212"/>
      <c r="C23" s="1212"/>
      <c r="D23" s="1212"/>
      <c r="E23" s="1212"/>
      <c r="F23" s="1212"/>
      <c r="G23" s="773" t="s">
        <v>1182</v>
      </c>
      <c r="H23" s="773" t="s">
        <v>1137</v>
      </c>
      <c r="I23" s="773" t="s">
        <v>1118</v>
      </c>
      <c r="K23" s="773" t="s">
        <v>1182</v>
      </c>
      <c r="L23" s="773" t="s">
        <v>1137</v>
      </c>
      <c r="M23" s="773" t="s">
        <v>1118</v>
      </c>
      <c r="Q23">
        <v>1498</v>
      </c>
      <c r="R23" s="795">
        <f>Q23*60%</f>
        <v>898.8</v>
      </c>
      <c r="S23" s="795">
        <f>Q23-R23</f>
        <v>599.20000000000005</v>
      </c>
    </row>
    <row r="24" spans="2:19" ht="24" thickBot="1" x14ac:dyDescent="0.25">
      <c r="B24" s="774" t="s">
        <v>1114</v>
      </c>
      <c r="C24" s="775">
        <v>1808937</v>
      </c>
      <c r="D24" s="775">
        <v>81402.17</v>
      </c>
      <c r="E24" s="775">
        <v>244.21</v>
      </c>
      <c r="F24" s="775">
        <v>107.04</v>
      </c>
      <c r="G24" s="775">
        <v>2425.79</v>
      </c>
      <c r="H24" s="775">
        <v>1994.35</v>
      </c>
      <c r="I24" s="775">
        <v>4420.1400000000003</v>
      </c>
      <c r="K24">
        <f>E24+F24+G24</f>
        <v>2777.04</v>
      </c>
      <c r="L24">
        <f>H24</f>
        <v>1994.35</v>
      </c>
      <c r="M24">
        <f>SUM(K24:L24)</f>
        <v>4771.3899999999994</v>
      </c>
    </row>
    <row r="25" spans="2:19" ht="47.25" thickBot="1" x14ac:dyDescent="0.25">
      <c r="B25" s="774" t="s">
        <v>1115</v>
      </c>
      <c r="C25" s="775">
        <v>1100979</v>
      </c>
      <c r="D25" s="775">
        <v>74316.08</v>
      </c>
      <c r="E25" s="775">
        <v>222.95</v>
      </c>
      <c r="F25" s="775">
        <v>97.73</v>
      </c>
      <c r="G25" s="775">
        <v>2214.62</v>
      </c>
      <c r="H25" s="775">
        <v>1476.41</v>
      </c>
      <c r="I25" s="775">
        <v>3691.03</v>
      </c>
      <c r="K25" s="488">
        <f>E25+F25+G25</f>
        <v>2535.2999999999997</v>
      </c>
      <c r="L25" s="488">
        <f>H25</f>
        <v>1476.41</v>
      </c>
      <c r="M25" s="488">
        <f>SUM(K25:L25)</f>
        <v>4011.71</v>
      </c>
    </row>
    <row r="26" spans="2:19" ht="24" thickBot="1" x14ac:dyDescent="0.25">
      <c r="B26" s="774" t="s">
        <v>1118</v>
      </c>
      <c r="C26" s="775">
        <v>2909916</v>
      </c>
      <c r="D26" s="775">
        <v>155718.25</v>
      </c>
      <c r="E26" s="775">
        <v>467.16</v>
      </c>
      <c r="F26" s="775">
        <v>204.77</v>
      </c>
      <c r="G26" s="775">
        <v>4640.41</v>
      </c>
      <c r="H26" s="775">
        <v>3470.76</v>
      </c>
      <c r="I26" s="775">
        <v>8111.17</v>
      </c>
    </row>
  </sheetData>
  <mergeCells count="23">
    <mergeCell ref="A2:A3"/>
    <mergeCell ref="B2:B3"/>
    <mergeCell ref="C2:H2"/>
    <mergeCell ref="I2:N2"/>
    <mergeCell ref="C4:C12"/>
    <mergeCell ref="D4:D12"/>
    <mergeCell ref="E4:E12"/>
    <mergeCell ref="I4:I12"/>
    <mergeCell ref="J4:J12"/>
    <mergeCell ref="K4:K12"/>
    <mergeCell ref="Q2:Y2"/>
    <mergeCell ref="Q3:Q4"/>
    <mergeCell ref="R3:R4"/>
    <mergeCell ref="S3:U3"/>
    <mergeCell ref="V3:X3"/>
    <mergeCell ref="Y3:Y4"/>
    <mergeCell ref="Q15:R15"/>
    <mergeCell ref="B22:B23"/>
    <mergeCell ref="C22:C23"/>
    <mergeCell ref="D22:D23"/>
    <mergeCell ref="E22:E23"/>
    <mergeCell ref="F22:F23"/>
    <mergeCell ref="G22:I22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K45"/>
  <sheetViews>
    <sheetView zoomScale="90" zoomScaleNormal="90" zoomScaleSheetLayoutView="100" workbookViewId="0">
      <selection activeCell="G6" sqref="G6:H6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8" ht="18" x14ac:dyDescent="0.35">
      <c r="A1" s="922" t="s">
        <v>0</v>
      </c>
      <c r="B1" s="922"/>
      <c r="C1" s="922"/>
      <c r="D1" s="922"/>
      <c r="E1" s="922"/>
      <c r="F1" s="922"/>
      <c r="G1" s="922"/>
      <c r="H1" s="194" t="s">
        <v>249</v>
      </c>
    </row>
    <row r="2" spans="1:8" ht="21" x14ac:dyDescent="0.35">
      <c r="A2" s="923" t="s">
        <v>738</v>
      </c>
      <c r="B2" s="923"/>
      <c r="C2" s="923"/>
      <c r="D2" s="923"/>
      <c r="E2" s="923"/>
      <c r="F2" s="923"/>
      <c r="G2" s="923"/>
      <c r="H2" s="923"/>
    </row>
    <row r="3" spans="1:8" ht="15" x14ac:dyDescent="0.3">
      <c r="A3" s="196"/>
      <c r="B3" s="196"/>
    </row>
    <row r="4" spans="1:8" ht="18" customHeight="1" x14ac:dyDescent="0.35">
      <c r="A4" s="924" t="s">
        <v>790</v>
      </c>
      <c r="B4" s="924"/>
      <c r="C4" s="924"/>
      <c r="D4" s="924"/>
      <c r="E4" s="924"/>
      <c r="F4" s="924"/>
      <c r="G4" s="924"/>
      <c r="H4" s="924"/>
    </row>
    <row r="5" spans="1:8" ht="15" x14ac:dyDescent="0.3">
      <c r="A5" s="197" t="s">
        <v>917</v>
      </c>
      <c r="B5" s="197" t="s">
        <v>916</v>
      </c>
    </row>
    <row r="6" spans="1:8" ht="15" x14ac:dyDescent="0.3">
      <c r="A6" s="197"/>
      <c r="B6" s="197"/>
      <c r="G6" s="925" t="s">
        <v>1186</v>
      </c>
      <c r="H6" s="925"/>
    </row>
    <row r="7" spans="1:8" ht="59.25" customHeight="1" x14ac:dyDescent="0.2">
      <c r="A7" s="302" t="s">
        <v>2</v>
      </c>
      <c r="B7" s="302" t="s">
        <v>3</v>
      </c>
      <c r="C7" s="199" t="s">
        <v>251</v>
      </c>
      <c r="D7" s="199" t="s">
        <v>252</v>
      </c>
      <c r="E7" s="199" t="s">
        <v>253</v>
      </c>
      <c r="F7" s="199" t="s">
        <v>254</v>
      </c>
      <c r="G7" s="199" t="s">
        <v>255</v>
      </c>
      <c r="H7" s="199" t="s">
        <v>256</v>
      </c>
    </row>
    <row r="8" spans="1:8" s="194" customFormat="1" ht="15" x14ac:dyDescent="0.25">
      <c r="A8" s="200" t="s">
        <v>257</v>
      </c>
      <c r="B8" s="200" t="s">
        <v>258</v>
      </c>
      <c r="C8" s="200" t="s">
        <v>259</v>
      </c>
      <c r="D8" s="200" t="s">
        <v>260</v>
      </c>
      <c r="E8" s="200" t="s">
        <v>261</v>
      </c>
      <c r="F8" s="200" t="s">
        <v>262</v>
      </c>
      <c r="G8" s="200" t="s">
        <v>263</v>
      </c>
      <c r="H8" s="200" t="s">
        <v>264</v>
      </c>
    </row>
    <row r="9" spans="1:8" ht="15.75" x14ac:dyDescent="0.2">
      <c r="A9" s="8">
        <v>1</v>
      </c>
      <c r="B9" s="349" t="s">
        <v>890</v>
      </c>
      <c r="C9" s="350">
        <v>826</v>
      </c>
      <c r="D9" s="350">
        <v>413</v>
      </c>
      <c r="E9" s="351">
        <v>0</v>
      </c>
      <c r="F9" s="351">
        <f>C9+D9+E9</f>
        <v>1239</v>
      </c>
      <c r="G9" s="351">
        <v>1239</v>
      </c>
      <c r="H9" s="9"/>
    </row>
    <row r="10" spans="1:8" ht="15.75" x14ac:dyDescent="0.2">
      <c r="A10" s="8">
        <v>2</v>
      </c>
      <c r="B10" s="349" t="s">
        <v>891</v>
      </c>
      <c r="C10" s="350">
        <v>1192</v>
      </c>
      <c r="D10" s="350">
        <v>638</v>
      </c>
      <c r="E10" s="351">
        <v>0</v>
      </c>
      <c r="F10" s="351">
        <f t="shared" ref="F10:F35" si="0">C10+D10+E10</f>
        <v>1830</v>
      </c>
      <c r="G10" s="351">
        <v>1830</v>
      </c>
      <c r="H10" s="9"/>
    </row>
    <row r="11" spans="1:8" ht="15.75" x14ac:dyDescent="0.2">
      <c r="A11" s="8">
        <v>3</v>
      </c>
      <c r="B11" s="349" t="s">
        <v>892</v>
      </c>
      <c r="C11" s="350">
        <v>1393</v>
      </c>
      <c r="D11" s="350">
        <v>571</v>
      </c>
      <c r="E11" s="351">
        <v>0</v>
      </c>
      <c r="F11" s="351">
        <f t="shared" si="0"/>
        <v>1964</v>
      </c>
      <c r="G11" s="351">
        <v>1964</v>
      </c>
      <c r="H11" s="9"/>
    </row>
    <row r="12" spans="1:8" ht="15.75" x14ac:dyDescent="0.2">
      <c r="A12" s="8">
        <v>4</v>
      </c>
      <c r="B12" s="349" t="s">
        <v>893</v>
      </c>
      <c r="C12" s="350">
        <v>1545</v>
      </c>
      <c r="D12" s="350">
        <v>649</v>
      </c>
      <c r="E12" s="351">
        <v>0</v>
      </c>
      <c r="F12" s="351">
        <f t="shared" si="0"/>
        <v>2194</v>
      </c>
      <c r="G12" s="351">
        <v>2194</v>
      </c>
      <c r="H12" s="9"/>
    </row>
    <row r="13" spans="1:8" ht="15.75" x14ac:dyDescent="0.2">
      <c r="A13" s="8">
        <v>5</v>
      </c>
      <c r="B13" s="349" t="s">
        <v>894</v>
      </c>
      <c r="C13" s="350">
        <v>745</v>
      </c>
      <c r="D13" s="350">
        <v>386</v>
      </c>
      <c r="E13" s="351">
        <v>0</v>
      </c>
      <c r="F13" s="351">
        <f t="shared" si="0"/>
        <v>1131</v>
      </c>
      <c r="G13" s="351">
        <v>1131</v>
      </c>
      <c r="H13" s="9"/>
    </row>
    <row r="14" spans="1:8" ht="15.75" x14ac:dyDescent="0.2">
      <c r="A14" s="8">
        <v>6</v>
      </c>
      <c r="B14" s="349" t="s">
        <v>895</v>
      </c>
      <c r="C14" s="350">
        <v>693</v>
      </c>
      <c r="D14" s="350">
        <v>204</v>
      </c>
      <c r="E14" s="351">
        <v>0</v>
      </c>
      <c r="F14" s="351">
        <f t="shared" si="0"/>
        <v>897</v>
      </c>
      <c r="G14" s="351">
        <v>897</v>
      </c>
      <c r="H14" s="9"/>
    </row>
    <row r="15" spans="1:8" ht="15.75" x14ac:dyDescent="0.2">
      <c r="A15" s="8">
        <v>7</v>
      </c>
      <c r="B15" s="349" t="s">
        <v>896</v>
      </c>
      <c r="C15" s="350">
        <v>1714</v>
      </c>
      <c r="D15" s="350">
        <v>782</v>
      </c>
      <c r="E15" s="351">
        <v>0</v>
      </c>
      <c r="F15" s="351">
        <f t="shared" si="0"/>
        <v>2496</v>
      </c>
      <c r="G15" s="351">
        <v>2496</v>
      </c>
      <c r="H15" s="9"/>
    </row>
    <row r="16" spans="1:8" ht="15.75" x14ac:dyDescent="0.2">
      <c r="A16" s="8">
        <v>8</v>
      </c>
      <c r="B16" s="349" t="s">
        <v>897</v>
      </c>
      <c r="C16" s="350">
        <v>647</v>
      </c>
      <c r="D16" s="350">
        <v>237</v>
      </c>
      <c r="E16" s="351">
        <v>0</v>
      </c>
      <c r="F16" s="351">
        <f t="shared" si="0"/>
        <v>884</v>
      </c>
      <c r="G16" s="351">
        <v>884</v>
      </c>
      <c r="H16" s="9"/>
    </row>
    <row r="17" spans="1:8" ht="15.75" x14ac:dyDescent="0.2">
      <c r="A17" s="8">
        <v>9</v>
      </c>
      <c r="B17" s="349" t="s">
        <v>898</v>
      </c>
      <c r="C17" s="350">
        <v>884</v>
      </c>
      <c r="D17" s="350">
        <v>452</v>
      </c>
      <c r="E17" s="351">
        <v>0</v>
      </c>
      <c r="F17" s="351">
        <f t="shared" si="0"/>
        <v>1336</v>
      </c>
      <c r="G17" s="351">
        <v>1336</v>
      </c>
      <c r="H17" s="9"/>
    </row>
    <row r="18" spans="1:8" ht="15.75" x14ac:dyDescent="0.2">
      <c r="A18" s="8">
        <v>10</v>
      </c>
      <c r="B18" s="349" t="s">
        <v>899</v>
      </c>
      <c r="C18" s="350">
        <v>612</v>
      </c>
      <c r="D18" s="350">
        <v>361</v>
      </c>
      <c r="E18" s="351">
        <v>0</v>
      </c>
      <c r="F18" s="351">
        <f t="shared" si="0"/>
        <v>973</v>
      </c>
      <c r="G18" s="351">
        <v>973</v>
      </c>
      <c r="H18" s="9"/>
    </row>
    <row r="19" spans="1:8" ht="15.75" x14ac:dyDescent="0.2">
      <c r="A19" s="8">
        <v>11</v>
      </c>
      <c r="B19" s="349" t="s">
        <v>900</v>
      </c>
      <c r="C19" s="350">
        <v>982</v>
      </c>
      <c r="D19" s="350">
        <v>450</v>
      </c>
      <c r="E19" s="351">
        <v>0</v>
      </c>
      <c r="F19" s="351">
        <f t="shared" si="0"/>
        <v>1432</v>
      </c>
      <c r="G19" s="351">
        <v>1432</v>
      </c>
      <c r="H19" s="9"/>
    </row>
    <row r="20" spans="1:8" ht="15.75" x14ac:dyDescent="0.2">
      <c r="A20" s="8">
        <v>12</v>
      </c>
      <c r="B20" s="349" t="s">
        <v>901</v>
      </c>
      <c r="C20" s="350">
        <v>1553</v>
      </c>
      <c r="D20" s="350">
        <v>791</v>
      </c>
      <c r="E20" s="351">
        <v>0</v>
      </c>
      <c r="F20" s="351">
        <f t="shared" si="0"/>
        <v>2344</v>
      </c>
      <c r="G20" s="351">
        <v>2344</v>
      </c>
      <c r="H20" s="9"/>
    </row>
    <row r="21" spans="1:8" ht="15.75" x14ac:dyDescent="0.2">
      <c r="A21" s="8">
        <v>13</v>
      </c>
      <c r="B21" s="349" t="s">
        <v>902</v>
      </c>
      <c r="C21" s="350">
        <v>1747</v>
      </c>
      <c r="D21" s="350">
        <v>521</v>
      </c>
      <c r="E21" s="351">
        <v>0</v>
      </c>
      <c r="F21" s="351">
        <f t="shared" si="0"/>
        <v>2268</v>
      </c>
      <c r="G21" s="351">
        <v>2268</v>
      </c>
      <c r="H21" s="9"/>
    </row>
    <row r="22" spans="1:8" ht="15.75" x14ac:dyDescent="0.2">
      <c r="A22" s="8">
        <v>14</v>
      </c>
      <c r="B22" s="349" t="s">
        <v>903</v>
      </c>
      <c r="C22" s="350">
        <v>1597</v>
      </c>
      <c r="D22" s="350">
        <v>615</v>
      </c>
      <c r="E22" s="351">
        <v>0</v>
      </c>
      <c r="F22" s="351">
        <f t="shared" si="0"/>
        <v>2212</v>
      </c>
      <c r="G22" s="351">
        <v>2212</v>
      </c>
      <c r="H22" s="9"/>
    </row>
    <row r="23" spans="1:8" ht="15.75" x14ac:dyDescent="0.2">
      <c r="A23" s="8">
        <v>15</v>
      </c>
      <c r="B23" s="349" t="s">
        <v>904</v>
      </c>
      <c r="C23" s="350">
        <v>986</v>
      </c>
      <c r="D23" s="350">
        <v>496</v>
      </c>
      <c r="E23" s="351">
        <v>0</v>
      </c>
      <c r="F23" s="351">
        <f t="shared" si="0"/>
        <v>1482</v>
      </c>
      <c r="G23" s="351">
        <v>1482</v>
      </c>
      <c r="H23" s="9"/>
    </row>
    <row r="24" spans="1:8" ht="15.75" x14ac:dyDescent="0.2">
      <c r="A24" s="8">
        <v>16</v>
      </c>
      <c r="B24" s="349" t="s">
        <v>905</v>
      </c>
      <c r="C24" s="350">
        <v>1229</v>
      </c>
      <c r="D24" s="350">
        <v>604</v>
      </c>
      <c r="E24" s="351">
        <v>0</v>
      </c>
      <c r="F24" s="351">
        <f t="shared" si="0"/>
        <v>1833</v>
      </c>
      <c r="G24" s="351">
        <v>1833</v>
      </c>
      <c r="H24" s="9"/>
    </row>
    <row r="25" spans="1:8" ht="15.75" x14ac:dyDescent="0.2">
      <c r="A25" s="8">
        <v>17</v>
      </c>
      <c r="B25" s="349" t="s">
        <v>906</v>
      </c>
      <c r="C25" s="350">
        <v>1494</v>
      </c>
      <c r="D25" s="350">
        <v>525</v>
      </c>
      <c r="E25" s="351">
        <v>0</v>
      </c>
      <c r="F25" s="351">
        <f t="shared" si="0"/>
        <v>2019</v>
      </c>
      <c r="G25" s="351">
        <v>2019</v>
      </c>
      <c r="H25" s="9"/>
    </row>
    <row r="26" spans="1:8" ht="15.75" x14ac:dyDescent="0.2">
      <c r="A26" s="8">
        <v>18</v>
      </c>
      <c r="B26" s="349" t="s">
        <v>907</v>
      </c>
      <c r="C26" s="350">
        <v>967</v>
      </c>
      <c r="D26" s="350">
        <v>419</v>
      </c>
      <c r="E26" s="351">
        <v>0</v>
      </c>
      <c r="F26" s="351">
        <f t="shared" si="0"/>
        <v>1386</v>
      </c>
      <c r="G26" s="351">
        <v>1386</v>
      </c>
      <c r="H26" s="9"/>
    </row>
    <row r="27" spans="1:8" ht="15.75" x14ac:dyDescent="0.2">
      <c r="A27" s="8">
        <v>19</v>
      </c>
      <c r="B27" s="349" t="s">
        <v>908</v>
      </c>
      <c r="C27" s="350">
        <v>1307</v>
      </c>
      <c r="D27" s="350">
        <v>502</v>
      </c>
      <c r="E27" s="351">
        <v>0</v>
      </c>
      <c r="F27" s="351">
        <f t="shared" si="0"/>
        <v>1809</v>
      </c>
      <c r="G27" s="351">
        <v>1809</v>
      </c>
      <c r="H27" s="9"/>
    </row>
    <row r="28" spans="1:8" ht="15.75" x14ac:dyDescent="0.2">
      <c r="A28" s="8">
        <v>20</v>
      </c>
      <c r="B28" s="349" t="s">
        <v>909</v>
      </c>
      <c r="C28" s="350">
        <v>666</v>
      </c>
      <c r="D28" s="350">
        <v>275</v>
      </c>
      <c r="E28" s="351">
        <v>0</v>
      </c>
      <c r="F28" s="351">
        <f t="shared" si="0"/>
        <v>941</v>
      </c>
      <c r="G28" s="351">
        <v>941</v>
      </c>
      <c r="H28" s="9"/>
    </row>
    <row r="29" spans="1:8" ht="15.75" x14ac:dyDescent="0.2">
      <c r="A29" s="8">
        <v>21</v>
      </c>
      <c r="B29" s="349" t="s">
        <v>910</v>
      </c>
      <c r="C29" s="350">
        <v>422</v>
      </c>
      <c r="D29" s="350">
        <v>146</v>
      </c>
      <c r="E29" s="351">
        <v>0</v>
      </c>
      <c r="F29" s="351">
        <f t="shared" si="0"/>
        <v>568</v>
      </c>
      <c r="G29" s="351">
        <v>568</v>
      </c>
      <c r="H29" s="9"/>
    </row>
    <row r="30" spans="1:8" ht="15.75" x14ac:dyDescent="0.2">
      <c r="A30" s="8">
        <v>22</v>
      </c>
      <c r="B30" s="349" t="s">
        <v>911</v>
      </c>
      <c r="C30" s="350">
        <v>1986</v>
      </c>
      <c r="D30" s="350">
        <v>919</v>
      </c>
      <c r="E30" s="351">
        <v>0</v>
      </c>
      <c r="F30" s="351">
        <f t="shared" si="0"/>
        <v>2905</v>
      </c>
      <c r="G30" s="351">
        <v>2905</v>
      </c>
      <c r="H30" s="9"/>
    </row>
    <row r="31" spans="1:8" ht="15.75" x14ac:dyDescent="0.2">
      <c r="A31" s="8">
        <v>23</v>
      </c>
      <c r="B31" s="349" t="s">
        <v>912</v>
      </c>
      <c r="C31" s="350">
        <v>797</v>
      </c>
      <c r="D31" s="350">
        <v>482</v>
      </c>
      <c r="E31" s="351">
        <v>0</v>
      </c>
      <c r="F31" s="351">
        <f t="shared" si="0"/>
        <v>1279</v>
      </c>
      <c r="G31" s="351">
        <v>1279</v>
      </c>
      <c r="H31" s="9"/>
    </row>
    <row r="32" spans="1:8" ht="15.75" x14ac:dyDescent="0.2">
      <c r="A32" s="8">
        <v>24</v>
      </c>
      <c r="B32" s="349" t="s">
        <v>913</v>
      </c>
      <c r="C32" s="350">
        <v>1860</v>
      </c>
      <c r="D32" s="350">
        <v>795</v>
      </c>
      <c r="E32" s="351">
        <v>0</v>
      </c>
      <c r="F32" s="351">
        <f t="shared" si="0"/>
        <v>2655</v>
      </c>
      <c r="G32" s="351">
        <v>2655</v>
      </c>
      <c r="H32" s="9"/>
    </row>
    <row r="33" spans="1:11" ht="15.75" x14ac:dyDescent="0.2">
      <c r="A33" s="8">
        <v>25</v>
      </c>
      <c r="B33" s="349" t="s">
        <v>919</v>
      </c>
      <c r="C33" s="350">
        <v>1353</v>
      </c>
      <c r="D33" s="350">
        <v>576</v>
      </c>
      <c r="E33" s="351">
        <v>0</v>
      </c>
      <c r="F33" s="351">
        <f t="shared" si="0"/>
        <v>1929</v>
      </c>
      <c r="G33" s="351">
        <v>1929</v>
      </c>
      <c r="H33" s="9"/>
    </row>
    <row r="34" spans="1:11" ht="15.75" x14ac:dyDescent="0.2">
      <c r="A34" s="8">
        <v>26</v>
      </c>
      <c r="B34" s="349" t="s">
        <v>914</v>
      </c>
      <c r="C34" s="350">
        <v>788</v>
      </c>
      <c r="D34" s="350">
        <v>216</v>
      </c>
      <c r="E34" s="351">
        <v>0</v>
      </c>
      <c r="F34" s="351">
        <f t="shared" si="0"/>
        <v>1004</v>
      </c>
      <c r="G34" s="351">
        <v>1004</v>
      </c>
      <c r="H34" s="9"/>
    </row>
    <row r="35" spans="1:11" ht="15.75" x14ac:dyDescent="0.2">
      <c r="A35" s="8">
        <v>27</v>
      </c>
      <c r="B35" s="349" t="s">
        <v>915</v>
      </c>
      <c r="C35" s="350">
        <v>1412</v>
      </c>
      <c r="D35" s="350">
        <v>564</v>
      </c>
      <c r="E35" s="351">
        <v>0</v>
      </c>
      <c r="F35" s="351">
        <f t="shared" si="0"/>
        <v>1976</v>
      </c>
      <c r="G35" s="351">
        <v>1976</v>
      </c>
      <c r="H35" s="9"/>
    </row>
    <row r="36" spans="1:11" x14ac:dyDescent="0.2">
      <c r="A36" s="3" t="s">
        <v>18</v>
      </c>
      <c r="B36" s="9"/>
      <c r="C36" s="351">
        <f>SUM(C9:C35)</f>
        <v>31397</v>
      </c>
      <c r="D36" s="351">
        <f>SUM(D9:D35)</f>
        <v>13589</v>
      </c>
      <c r="E36" s="351">
        <f>SUM(E9:E35)</f>
        <v>0</v>
      </c>
      <c r="F36" s="351">
        <f>SUM(F9:F35)</f>
        <v>44986</v>
      </c>
      <c r="G36" s="351">
        <f>SUM(G9:G35)</f>
        <v>44986</v>
      </c>
      <c r="H36" s="9"/>
    </row>
    <row r="38" spans="1:11" x14ac:dyDescent="0.2">
      <c r="A38" s="202" t="s">
        <v>265</v>
      </c>
    </row>
    <row r="40" spans="1:11" ht="27" customHeight="1" x14ac:dyDescent="0.2"/>
    <row r="41" spans="1:11" ht="15" customHeight="1" x14ac:dyDescent="0.2">
      <c r="A41" s="203"/>
      <c r="B41" s="203"/>
      <c r="C41" s="203"/>
      <c r="D41" s="203"/>
      <c r="E41" s="203"/>
      <c r="F41" s="810" t="s">
        <v>13</v>
      </c>
      <c r="G41" s="810"/>
      <c r="H41" s="810"/>
    </row>
    <row r="42" spans="1:11" ht="15" customHeight="1" x14ac:dyDescent="0.2">
      <c r="A42" s="203"/>
      <c r="B42" s="203"/>
      <c r="C42" s="203"/>
      <c r="D42" s="203"/>
      <c r="E42" s="203"/>
      <c r="F42" s="810" t="s">
        <v>14</v>
      </c>
      <c r="G42" s="810"/>
      <c r="H42" s="810"/>
    </row>
    <row r="43" spans="1:11" ht="15" customHeight="1" x14ac:dyDescent="0.2">
      <c r="A43" s="203"/>
      <c r="B43" s="203"/>
      <c r="C43" s="203"/>
      <c r="D43" s="203"/>
      <c r="E43" s="203"/>
      <c r="F43" s="810" t="s">
        <v>918</v>
      </c>
      <c r="G43" s="810"/>
      <c r="H43" s="810"/>
    </row>
    <row r="44" spans="1:11" x14ac:dyDescent="0.2">
      <c r="A44" s="203" t="s">
        <v>12</v>
      </c>
      <c r="C44" s="203"/>
      <c r="D44" s="203"/>
      <c r="E44" s="203"/>
      <c r="F44" s="909" t="s">
        <v>82</v>
      </c>
      <c r="G44" s="909"/>
      <c r="H44" s="205"/>
    </row>
    <row r="45" spans="1:11" x14ac:dyDescent="0.2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</row>
  </sheetData>
  <mergeCells count="8">
    <mergeCell ref="F43:H43"/>
    <mergeCell ref="F44:G44"/>
    <mergeCell ref="A1:G1"/>
    <mergeCell ref="A2:H2"/>
    <mergeCell ref="A4:H4"/>
    <mergeCell ref="G6:H6"/>
    <mergeCell ref="F42:H42"/>
    <mergeCell ref="F41:H4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S52"/>
  <sheetViews>
    <sheetView topLeftCell="A28" zoomScaleSheetLayoutView="85" workbookViewId="0">
      <selection activeCell="O12" sqref="O12"/>
    </sheetView>
  </sheetViews>
  <sheetFormatPr defaultRowHeight="12.75" x14ac:dyDescent="0.2"/>
  <cols>
    <col min="1" max="1" width="8" customWidth="1"/>
    <col min="2" max="2" width="14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870"/>
      <c r="E1" s="870"/>
      <c r="F1" s="870"/>
      <c r="G1" s="870"/>
      <c r="H1" s="870"/>
      <c r="I1" s="870"/>
      <c r="L1" s="926" t="s">
        <v>86</v>
      </c>
      <c r="M1" s="926"/>
    </row>
    <row r="2" spans="1:19" ht="15.75" x14ac:dyDescent="0.25">
      <c r="A2" s="865" t="s">
        <v>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19" ht="20.25" x14ac:dyDescent="0.3">
      <c r="A3" s="863" t="s">
        <v>738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</row>
    <row r="4" spans="1:19" ht="11.25" customHeight="1" x14ac:dyDescent="0.2"/>
    <row r="5" spans="1:19" ht="15.75" x14ac:dyDescent="0.25">
      <c r="A5" s="865" t="s">
        <v>791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</row>
    <row r="7" spans="1:19" ht="15" x14ac:dyDescent="0.3">
      <c r="A7" s="197" t="s">
        <v>917</v>
      </c>
      <c r="B7" s="197" t="s">
        <v>916</v>
      </c>
      <c r="K7" s="108"/>
    </row>
    <row r="8" spans="1:19" x14ac:dyDescent="0.2">
      <c r="A8" s="32"/>
      <c r="B8" s="32"/>
      <c r="K8" s="98"/>
      <c r="L8" s="928" t="s">
        <v>1186</v>
      </c>
      <c r="M8" s="928"/>
      <c r="N8" s="928"/>
    </row>
    <row r="9" spans="1:19" ht="15.75" customHeight="1" x14ac:dyDescent="0.2">
      <c r="A9" s="929" t="s">
        <v>2</v>
      </c>
      <c r="B9" s="929" t="s">
        <v>3</v>
      </c>
      <c r="C9" s="816" t="s">
        <v>4</v>
      </c>
      <c r="D9" s="816"/>
      <c r="E9" s="816"/>
      <c r="F9" s="818"/>
      <c r="G9" s="927"/>
      <c r="H9" s="825" t="s">
        <v>100</v>
      </c>
      <c r="I9" s="825"/>
      <c r="J9" s="825"/>
      <c r="K9" s="825"/>
      <c r="L9" s="825"/>
      <c r="M9" s="929" t="s">
        <v>130</v>
      </c>
      <c r="N9" s="824" t="s">
        <v>131</v>
      </c>
    </row>
    <row r="10" spans="1:19" ht="38.25" x14ac:dyDescent="0.2">
      <c r="A10" s="930"/>
      <c r="B10" s="930"/>
      <c r="C10" s="5" t="s">
        <v>5</v>
      </c>
      <c r="D10" s="5" t="s">
        <v>6</v>
      </c>
      <c r="E10" s="5" t="s">
        <v>354</v>
      </c>
      <c r="F10" s="7" t="s">
        <v>98</v>
      </c>
      <c r="G10" s="6" t="s">
        <v>355</v>
      </c>
      <c r="H10" s="5" t="s">
        <v>5</v>
      </c>
      <c r="I10" s="5" t="s">
        <v>6</v>
      </c>
      <c r="J10" s="5" t="s">
        <v>354</v>
      </c>
      <c r="K10" s="7" t="s">
        <v>98</v>
      </c>
      <c r="L10" s="7" t="s">
        <v>356</v>
      </c>
      <c r="M10" s="930"/>
      <c r="N10" s="824"/>
      <c r="R10" s="12"/>
      <c r="S10" s="12"/>
    </row>
    <row r="11" spans="1:19" s="14" customFormat="1" x14ac:dyDescent="0.2">
      <c r="A11" s="5">
        <v>1</v>
      </c>
      <c r="B11" s="2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s="14" customFormat="1" ht="13.5" customHeight="1" x14ac:dyDescent="0.2">
      <c r="A12" s="7">
        <v>1</v>
      </c>
      <c r="B12" s="361" t="s">
        <v>890</v>
      </c>
      <c r="C12" s="353">
        <v>821</v>
      </c>
      <c r="D12" s="355">
        <v>2</v>
      </c>
      <c r="E12" s="5">
        <v>0</v>
      </c>
      <c r="F12" s="358">
        <v>3</v>
      </c>
      <c r="G12" s="358">
        <f>SUM(C12:F12)</f>
        <v>826</v>
      </c>
      <c r="H12" s="355">
        <v>821</v>
      </c>
      <c r="I12" s="355">
        <v>2</v>
      </c>
      <c r="J12" s="355">
        <v>0</v>
      </c>
      <c r="K12" s="355">
        <v>3</v>
      </c>
      <c r="L12" s="355">
        <f>SUM(H12:K12)</f>
        <v>826</v>
      </c>
      <c r="M12" s="5">
        <v>0</v>
      </c>
      <c r="N12" s="5"/>
    </row>
    <row r="13" spans="1:19" s="14" customFormat="1" ht="13.5" customHeight="1" x14ac:dyDescent="0.2">
      <c r="A13" s="7">
        <v>2</v>
      </c>
      <c r="B13" s="361" t="s">
        <v>891</v>
      </c>
      <c r="C13" s="353">
        <v>1188</v>
      </c>
      <c r="D13" s="355">
        <v>4</v>
      </c>
      <c r="E13" s="5">
        <v>0</v>
      </c>
      <c r="F13" s="358">
        <v>0</v>
      </c>
      <c r="G13" s="358">
        <f t="shared" ref="G13:G38" si="0">SUM(C13:F13)</f>
        <v>1192</v>
      </c>
      <c r="H13" s="355">
        <v>1188</v>
      </c>
      <c r="I13" s="355">
        <v>4</v>
      </c>
      <c r="J13" s="355">
        <v>0</v>
      </c>
      <c r="K13" s="355">
        <v>0</v>
      </c>
      <c r="L13" s="355">
        <f t="shared" ref="L13:L38" si="1">SUM(H13:K13)</f>
        <v>1192</v>
      </c>
      <c r="M13" s="5">
        <v>0</v>
      </c>
      <c r="N13" s="5"/>
    </row>
    <row r="14" spans="1:19" s="14" customFormat="1" ht="13.5" customHeight="1" x14ac:dyDescent="0.2">
      <c r="A14" s="7">
        <v>3</v>
      </c>
      <c r="B14" s="361" t="s">
        <v>892</v>
      </c>
      <c r="C14" s="353">
        <v>1358</v>
      </c>
      <c r="D14" s="355">
        <v>11</v>
      </c>
      <c r="E14" s="5">
        <v>0</v>
      </c>
      <c r="F14" s="358">
        <v>24</v>
      </c>
      <c r="G14" s="358">
        <f t="shared" si="0"/>
        <v>1393</v>
      </c>
      <c r="H14" s="355">
        <v>1358</v>
      </c>
      <c r="I14" s="355">
        <v>11</v>
      </c>
      <c r="J14" s="355">
        <v>0</v>
      </c>
      <c r="K14" s="355">
        <v>24</v>
      </c>
      <c r="L14" s="355">
        <f t="shared" si="1"/>
        <v>1393</v>
      </c>
      <c r="M14" s="5">
        <v>0</v>
      </c>
      <c r="N14" s="5"/>
    </row>
    <row r="15" spans="1:19" s="14" customFormat="1" ht="13.5" customHeight="1" x14ac:dyDescent="0.2">
      <c r="A15" s="7">
        <v>4</v>
      </c>
      <c r="B15" s="361" t="s">
        <v>893</v>
      </c>
      <c r="C15" s="353">
        <v>1524</v>
      </c>
      <c r="D15" s="355">
        <v>15</v>
      </c>
      <c r="E15" s="5">
        <v>0</v>
      </c>
      <c r="F15" s="358">
        <v>6</v>
      </c>
      <c r="G15" s="358">
        <f t="shared" si="0"/>
        <v>1545</v>
      </c>
      <c r="H15" s="355">
        <v>1524</v>
      </c>
      <c r="I15" s="355">
        <v>15</v>
      </c>
      <c r="J15" s="355">
        <v>0</v>
      </c>
      <c r="K15" s="355">
        <v>6</v>
      </c>
      <c r="L15" s="355">
        <f t="shared" si="1"/>
        <v>1545</v>
      </c>
      <c r="M15" s="5">
        <v>0</v>
      </c>
      <c r="N15" s="5"/>
    </row>
    <row r="16" spans="1:19" s="14" customFormat="1" ht="13.5" customHeight="1" x14ac:dyDescent="0.2">
      <c r="A16" s="7">
        <v>5</v>
      </c>
      <c r="B16" s="361" t="s">
        <v>894</v>
      </c>
      <c r="C16" s="353">
        <v>743</v>
      </c>
      <c r="D16" s="355">
        <v>0</v>
      </c>
      <c r="E16" s="5">
        <v>0</v>
      </c>
      <c r="F16" s="358">
        <v>2</v>
      </c>
      <c r="G16" s="358">
        <f t="shared" si="0"/>
        <v>745</v>
      </c>
      <c r="H16" s="355">
        <v>743</v>
      </c>
      <c r="I16" s="355">
        <v>0</v>
      </c>
      <c r="J16" s="355">
        <v>0</v>
      </c>
      <c r="K16" s="355">
        <v>2</v>
      </c>
      <c r="L16" s="355">
        <f t="shared" si="1"/>
        <v>745</v>
      </c>
      <c r="M16" s="5">
        <v>0</v>
      </c>
      <c r="N16" s="5"/>
    </row>
    <row r="17" spans="1:14" s="14" customFormat="1" ht="13.5" customHeight="1" x14ac:dyDescent="0.2">
      <c r="A17" s="7">
        <v>6</v>
      </c>
      <c r="B17" s="361" t="s">
        <v>895</v>
      </c>
      <c r="C17" s="353">
        <v>685</v>
      </c>
      <c r="D17" s="355">
        <v>8</v>
      </c>
      <c r="E17" s="5">
        <v>0</v>
      </c>
      <c r="F17" s="358">
        <v>0</v>
      </c>
      <c r="G17" s="358">
        <f t="shared" si="0"/>
        <v>693</v>
      </c>
      <c r="H17" s="355">
        <v>685</v>
      </c>
      <c r="I17" s="355">
        <v>8</v>
      </c>
      <c r="J17" s="355">
        <v>0</v>
      </c>
      <c r="K17" s="355">
        <v>0</v>
      </c>
      <c r="L17" s="355">
        <f t="shared" si="1"/>
        <v>693</v>
      </c>
      <c r="M17" s="5">
        <v>0</v>
      </c>
      <c r="N17" s="5"/>
    </row>
    <row r="18" spans="1:14" s="14" customFormat="1" ht="13.5" customHeight="1" x14ac:dyDescent="0.2">
      <c r="A18" s="7">
        <v>7</v>
      </c>
      <c r="B18" s="361" t="s">
        <v>896</v>
      </c>
      <c r="C18" s="353">
        <v>1662</v>
      </c>
      <c r="D18" s="355">
        <v>38</v>
      </c>
      <c r="E18" s="5">
        <v>0</v>
      </c>
      <c r="F18" s="358">
        <v>14</v>
      </c>
      <c r="G18" s="358">
        <f t="shared" si="0"/>
        <v>1714</v>
      </c>
      <c r="H18" s="355">
        <v>1662</v>
      </c>
      <c r="I18" s="355">
        <v>38</v>
      </c>
      <c r="J18" s="355">
        <v>0</v>
      </c>
      <c r="K18" s="355">
        <v>14</v>
      </c>
      <c r="L18" s="355">
        <f t="shared" si="1"/>
        <v>1714</v>
      </c>
      <c r="M18" s="5">
        <v>0</v>
      </c>
      <c r="N18" s="5"/>
    </row>
    <row r="19" spans="1:14" s="14" customFormat="1" ht="13.5" customHeight="1" x14ac:dyDescent="0.2">
      <c r="A19" s="7">
        <v>8</v>
      </c>
      <c r="B19" s="361" t="s">
        <v>897</v>
      </c>
      <c r="C19" s="353">
        <v>632</v>
      </c>
      <c r="D19" s="355">
        <v>14</v>
      </c>
      <c r="E19" s="5">
        <v>0</v>
      </c>
      <c r="F19" s="358">
        <v>1</v>
      </c>
      <c r="G19" s="358">
        <f t="shared" si="0"/>
        <v>647</v>
      </c>
      <c r="H19" s="355">
        <v>632</v>
      </c>
      <c r="I19" s="355">
        <v>14</v>
      </c>
      <c r="J19" s="355">
        <v>0</v>
      </c>
      <c r="K19" s="355">
        <v>1</v>
      </c>
      <c r="L19" s="355">
        <f t="shared" si="1"/>
        <v>647</v>
      </c>
      <c r="M19" s="5">
        <v>0</v>
      </c>
      <c r="N19" s="5"/>
    </row>
    <row r="20" spans="1:14" s="14" customFormat="1" ht="13.5" customHeight="1" x14ac:dyDescent="0.2">
      <c r="A20" s="7">
        <v>9</v>
      </c>
      <c r="B20" s="361" t="s">
        <v>898</v>
      </c>
      <c r="C20" s="353">
        <v>878</v>
      </c>
      <c r="D20" s="355">
        <v>4</v>
      </c>
      <c r="E20" s="5">
        <v>0</v>
      </c>
      <c r="F20" s="358">
        <v>2</v>
      </c>
      <c r="G20" s="358">
        <f t="shared" si="0"/>
        <v>884</v>
      </c>
      <c r="H20" s="355">
        <v>878</v>
      </c>
      <c r="I20" s="355">
        <v>4</v>
      </c>
      <c r="J20" s="355">
        <v>0</v>
      </c>
      <c r="K20" s="355">
        <v>2</v>
      </c>
      <c r="L20" s="355">
        <f t="shared" si="1"/>
        <v>884</v>
      </c>
      <c r="M20" s="5">
        <v>0</v>
      </c>
      <c r="N20" s="5"/>
    </row>
    <row r="21" spans="1:14" s="14" customFormat="1" ht="13.5" customHeight="1" x14ac:dyDescent="0.2">
      <c r="A21" s="7">
        <v>10</v>
      </c>
      <c r="B21" s="361" t="s">
        <v>899</v>
      </c>
      <c r="C21" s="353">
        <v>585</v>
      </c>
      <c r="D21" s="355">
        <v>10</v>
      </c>
      <c r="E21" s="5">
        <v>0</v>
      </c>
      <c r="F21" s="358">
        <v>17</v>
      </c>
      <c r="G21" s="358">
        <f t="shared" si="0"/>
        <v>612</v>
      </c>
      <c r="H21" s="355">
        <v>585</v>
      </c>
      <c r="I21" s="355">
        <v>10</v>
      </c>
      <c r="J21" s="355">
        <v>0</v>
      </c>
      <c r="K21" s="355">
        <v>17</v>
      </c>
      <c r="L21" s="355">
        <f t="shared" si="1"/>
        <v>612</v>
      </c>
      <c r="M21" s="5">
        <v>0</v>
      </c>
      <c r="N21" s="5"/>
    </row>
    <row r="22" spans="1:14" s="14" customFormat="1" ht="13.5" customHeight="1" x14ac:dyDescent="0.2">
      <c r="A22" s="7">
        <v>11</v>
      </c>
      <c r="B22" s="361" t="s">
        <v>900</v>
      </c>
      <c r="C22" s="353">
        <v>980</v>
      </c>
      <c r="D22" s="355">
        <v>2</v>
      </c>
      <c r="E22" s="5">
        <v>0</v>
      </c>
      <c r="F22" s="358">
        <v>0</v>
      </c>
      <c r="G22" s="358">
        <f t="shared" si="0"/>
        <v>982</v>
      </c>
      <c r="H22" s="355">
        <v>980</v>
      </c>
      <c r="I22" s="355">
        <v>2</v>
      </c>
      <c r="J22" s="355">
        <v>0</v>
      </c>
      <c r="K22" s="355">
        <v>0</v>
      </c>
      <c r="L22" s="355">
        <f t="shared" si="1"/>
        <v>982</v>
      </c>
      <c r="M22" s="5">
        <v>0</v>
      </c>
      <c r="N22" s="5"/>
    </row>
    <row r="23" spans="1:14" s="14" customFormat="1" ht="13.5" customHeight="1" x14ac:dyDescent="0.2">
      <c r="A23" s="7">
        <v>12</v>
      </c>
      <c r="B23" s="361" t="s">
        <v>901</v>
      </c>
      <c r="C23" s="353">
        <v>1534</v>
      </c>
      <c r="D23" s="355">
        <v>18</v>
      </c>
      <c r="E23" s="5">
        <v>0</v>
      </c>
      <c r="F23" s="358">
        <v>1</v>
      </c>
      <c r="G23" s="358">
        <f t="shared" si="0"/>
        <v>1553</v>
      </c>
      <c r="H23" s="355">
        <v>1534</v>
      </c>
      <c r="I23" s="355">
        <v>18</v>
      </c>
      <c r="J23" s="355">
        <v>0</v>
      </c>
      <c r="K23" s="355">
        <v>1</v>
      </c>
      <c r="L23" s="355">
        <f t="shared" si="1"/>
        <v>1553</v>
      </c>
      <c r="M23" s="5">
        <v>0</v>
      </c>
      <c r="N23" s="5"/>
    </row>
    <row r="24" spans="1:14" s="14" customFormat="1" ht="13.5" customHeight="1" x14ac:dyDescent="0.2">
      <c r="A24" s="7">
        <v>13</v>
      </c>
      <c r="B24" s="361" t="s">
        <v>902</v>
      </c>
      <c r="C24" s="353">
        <v>1648</v>
      </c>
      <c r="D24" s="355">
        <v>79</v>
      </c>
      <c r="E24" s="5">
        <v>0</v>
      </c>
      <c r="F24" s="358">
        <v>20</v>
      </c>
      <c r="G24" s="358">
        <f t="shared" si="0"/>
        <v>1747</v>
      </c>
      <c r="H24" s="355">
        <v>1648</v>
      </c>
      <c r="I24" s="355">
        <v>79</v>
      </c>
      <c r="J24" s="355">
        <v>0</v>
      </c>
      <c r="K24" s="355">
        <v>20</v>
      </c>
      <c r="L24" s="355">
        <f t="shared" si="1"/>
        <v>1747</v>
      </c>
      <c r="M24" s="5">
        <v>0</v>
      </c>
      <c r="N24" s="5"/>
    </row>
    <row r="25" spans="1:14" ht="13.5" customHeight="1" x14ac:dyDescent="0.2">
      <c r="A25" s="7">
        <v>14</v>
      </c>
      <c r="B25" s="361" t="s">
        <v>903</v>
      </c>
      <c r="C25" s="354">
        <v>1592</v>
      </c>
      <c r="D25" s="356">
        <v>2</v>
      </c>
      <c r="E25" s="5">
        <v>0</v>
      </c>
      <c r="F25" s="359">
        <v>3</v>
      </c>
      <c r="G25" s="358">
        <f t="shared" si="0"/>
        <v>1597</v>
      </c>
      <c r="H25" s="356">
        <v>1592</v>
      </c>
      <c r="I25" s="356">
        <v>2</v>
      </c>
      <c r="J25" s="356">
        <v>0</v>
      </c>
      <c r="K25" s="356">
        <v>3</v>
      </c>
      <c r="L25" s="355">
        <f t="shared" si="1"/>
        <v>1597</v>
      </c>
      <c r="M25" s="5">
        <v>0</v>
      </c>
      <c r="N25" s="9"/>
    </row>
    <row r="26" spans="1:14" ht="13.5" customHeight="1" x14ac:dyDescent="0.2">
      <c r="A26" s="7">
        <v>15</v>
      </c>
      <c r="B26" s="361" t="s">
        <v>904</v>
      </c>
      <c r="C26" s="354">
        <v>975</v>
      </c>
      <c r="D26" s="356">
        <v>10</v>
      </c>
      <c r="E26" s="5">
        <v>0</v>
      </c>
      <c r="F26" s="359">
        <v>1</v>
      </c>
      <c r="G26" s="358">
        <f t="shared" si="0"/>
        <v>986</v>
      </c>
      <c r="H26" s="356">
        <v>975</v>
      </c>
      <c r="I26" s="356">
        <v>10</v>
      </c>
      <c r="J26" s="356">
        <v>0</v>
      </c>
      <c r="K26" s="356">
        <v>1</v>
      </c>
      <c r="L26" s="355">
        <f t="shared" si="1"/>
        <v>986</v>
      </c>
      <c r="M26" s="5">
        <v>0</v>
      </c>
      <c r="N26" s="9"/>
    </row>
    <row r="27" spans="1:14" ht="13.5" customHeight="1" x14ac:dyDescent="0.2">
      <c r="A27" s="7">
        <v>16</v>
      </c>
      <c r="B27" s="361" t="s">
        <v>905</v>
      </c>
      <c r="C27" s="354">
        <v>1226</v>
      </c>
      <c r="D27" s="356">
        <v>0</v>
      </c>
      <c r="E27" s="5">
        <v>0</v>
      </c>
      <c r="F27" s="359">
        <v>3</v>
      </c>
      <c r="G27" s="358">
        <f t="shared" si="0"/>
        <v>1229</v>
      </c>
      <c r="H27" s="356">
        <v>1226</v>
      </c>
      <c r="I27" s="356">
        <v>0</v>
      </c>
      <c r="J27" s="356">
        <v>0</v>
      </c>
      <c r="K27" s="356">
        <v>3</v>
      </c>
      <c r="L27" s="355">
        <f t="shared" si="1"/>
        <v>1229</v>
      </c>
      <c r="M27" s="5">
        <v>0</v>
      </c>
      <c r="N27" s="9"/>
    </row>
    <row r="28" spans="1:14" ht="13.5" customHeight="1" x14ac:dyDescent="0.2">
      <c r="A28" s="7">
        <v>17</v>
      </c>
      <c r="B28" s="361" t="s">
        <v>906</v>
      </c>
      <c r="C28" s="354">
        <v>1487</v>
      </c>
      <c r="D28" s="356">
        <v>4</v>
      </c>
      <c r="E28" s="5">
        <v>0</v>
      </c>
      <c r="F28" s="359">
        <v>3</v>
      </c>
      <c r="G28" s="358">
        <f t="shared" si="0"/>
        <v>1494</v>
      </c>
      <c r="H28" s="356">
        <v>1487</v>
      </c>
      <c r="I28" s="356">
        <v>4</v>
      </c>
      <c r="J28" s="356">
        <v>0</v>
      </c>
      <c r="K28" s="356">
        <v>3</v>
      </c>
      <c r="L28" s="355">
        <f t="shared" si="1"/>
        <v>1494</v>
      </c>
      <c r="M28" s="5">
        <v>0</v>
      </c>
      <c r="N28" s="9"/>
    </row>
    <row r="29" spans="1:14" ht="13.5" customHeight="1" x14ac:dyDescent="0.2">
      <c r="A29" s="7">
        <v>18</v>
      </c>
      <c r="B29" s="361" t="s">
        <v>907</v>
      </c>
      <c r="C29" s="354">
        <v>955</v>
      </c>
      <c r="D29" s="356">
        <v>9</v>
      </c>
      <c r="E29" s="5">
        <v>0</v>
      </c>
      <c r="F29" s="359">
        <v>3</v>
      </c>
      <c r="G29" s="358">
        <f t="shared" si="0"/>
        <v>967</v>
      </c>
      <c r="H29" s="356">
        <v>955</v>
      </c>
      <c r="I29" s="356">
        <v>9</v>
      </c>
      <c r="J29" s="356">
        <v>0</v>
      </c>
      <c r="K29" s="356">
        <v>3</v>
      </c>
      <c r="L29" s="355">
        <f t="shared" si="1"/>
        <v>967</v>
      </c>
      <c r="M29" s="5">
        <v>0</v>
      </c>
      <c r="N29" s="9"/>
    </row>
    <row r="30" spans="1:14" ht="13.5" customHeight="1" x14ac:dyDescent="0.2">
      <c r="A30" s="7">
        <v>19</v>
      </c>
      <c r="B30" s="361" t="s">
        <v>908</v>
      </c>
      <c r="C30" s="354">
        <v>1282</v>
      </c>
      <c r="D30" s="356">
        <v>18</v>
      </c>
      <c r="E30" s="5">
        <v>0</v>
      </c>
      <c r="F30" s="359">
        <v>7</v>
      </c>
      <c r="G30" s="358">
        <f t="shared" si="0"/>
        <v>1307</v>
      </c>
      <c r="H30" s="356">
        <v>1282</v>
      </c>
      <c r="I30" s="356">
        <v>18</v>
      </c>
      <c r="J30" s="356">
        <v>0</v>
      </c>
      <c r="K30" s="356">
        <v>7</v>
      </c>
      <c r="L30" s="355">
        <f t="shared" si="1"/>
        <v>1307</v>
      </c>
      <c r="M30" s="5">
        <v>0</v>
      </c>
      <c r="N30" s="9"/>
    </row>
    <row r="31" spans="1:14" ht="13.5" customHeight="1" x14ac:dyDescent="0.2">
      <c r="A31" s="7">
        <v>20</v>
      </c>
      <c r="B31" s="361" t="s">
        <v>909</v>
      </c>
      <c r="C31" s="354">
        <v>662</v>
      </c>
      <c r="D31" s="356">
        <v>2</v>
      </c>
      <c r="E31" s="5">
        <v>0</v>
      </c>
      <c r="F31" s="359">
        <v>2</v>
      </c>
      <c r="G31" s="358">
        <f t="shared" si="0"/>
        <v>666</v>
      </c>
      <c r="H31" s="356">
        <v>662</v>
      </c>
      <c r="I31" s="356">
        <v>2</v>
      </c>
      <c r="J31" s="356">
        <v>0</v>
      </c>
      <c r="K31" s="356">
        <v>2</v>
      </c>
      <c r="L31" s="355">
        <f t="shared" si="1"/>
        <v>666</v>
      </c>
      <c r="M31" s="5">
        <v>0</v>
      </c>
      <c r="N31" s="9"/>
    </row>
    <row r="32" spans="1:14" ht="13.5" customHeight="1" x14ac:dyDescent="0.2">
      <c r="A32" s="7">
        <v>21</v>
      </c>
      <c r="B32" s="361" t="s">
        <v>910</v>
      </c>
      <c r="C32" s="354">
        <v>409</v>
      </c>
      <c r="D32" s="356">
        <v>13</v>
      </c>
      <c r="E32" s="5">
        <v>0</v>
      </c>
      <c r="F32" s="359">
        <v>0</v>
      </c>
      <c r="G32" s="358">
        <f t="shared" si="0"/>
        <v>422</v>
      </c>
      <c r="H32" s="356">
        <v>409</v>
      </c>
      <c r="I32" s="356">
        <v>13</v>
      </c>
      <c r="J32" s="356">
        <v>0</v>
      </c>
      <c r="K32" s="356">
        <v>0</v>
      </c>
      <c r="L32" s="355">
        <f t="shared" si="1"/>
        <v>422</v>
      </c>
      <c r="M32" s="5">
        <v>0</v>
      </c>
      <c r="N32" s="9"/>
    </row>
    <row r="33" spans="1:15" ht="13.5" customHeight="1" x14ac:dyDescent="0.2">
      <c r="A33" s="7">
        <v>22</v>
      </c>
      <c r="B33" s="361" t="s">
        <v>911</v>
      </c>
      <c r="C33" s="354">
        <v>1972</v>
      </c>
      <c r="D33" s="356">
        <v>6</v>
      </c>
      <c r="E33" s="5">
        <v>0</v>
      </c>
      <c r="F33" s="359">
        <v>8</v>
      </c>
      <c r="G33" s="358">
        <f t="shared" si="0"/>
        <v>1986</v>
      </c>
      <c r="H33" s="356">
        <v>1972</v>
      </c>
      <c r="I33" s="356">
        <v>6</v>
      </c>
      <c r="J33" s="356">
        <v>0</v>
      </c>
      <c r="K33" s="356">
        <v>8</v>
      </c>
      <c r="L33" s="355">
        <f t="shared" si="1"/>
        <v>1986</v>
      </c>
      <c r="M33" s="5">
        <v>0</v>
      </c>
      <c r="N33" s="9"/>
    </row>
    <row r="34" spans="1:15" ht="13.5" customHeight="1" x14ac:dyDescent="0.2">
      <c r="A34" s="7">
        <v>23</v>
      </c>
      <c r="B34" s="361" t="s">
        <v>912</v>
      </c>
      <c r="C34" s="354">
        <v>760</v>
      </c>
      <c r="D34" s="356">
        <v>21</v>
      </c>
      <c r="E34" s="5">
        <v>0</v>
      </c>
      <c r="F34" s="359">
        <v>16</v>
      </c>
      <c r="G34" s="358">
        <f t="shared" si="0"/>
        <v>797</v>
      </c>
      <c r="H34" s="356">
        <v>760</v>
      </c>
      <c r="I34" s="356">
        <v>21</v>
      </c>
      <c r="J34" s="356">
        <v>0</v>
      </c>
      <c r="K34" s="356">
        <v>16</v>
      </c>
      <c r="L34" s="355">
        <f t="shared" si="1"/>
        <v>797</v>
      </c>
      <c r="M34" s="5">
        <v>0</v>
      </c>
      <c r="N34" s="9"/>
    </row>
    <row r="35" spans="1:15" ht="13.5" customHeight="1" x14ac:dyDescent="0.2">
      <c r="A35" s="7">
        <v>24</v>
      </c>
      <c r="B35" s="361" t="s">
        <v>913</v>
      </c>
      <c r="C35" s="354">
        <v>1851</v>
      </c>
      <c r="D35" s="356">
        <v>6</v>
      </c>
      <c r="E35" s="5">
        <v>0</v>
      </c>
      <c r="F35" s="359">
        <v>3</v>
      </c>
      <c r="G35" s="358">
        <f t="shared" si="0"/>
        <v>1860</v>
      </c>
      <c r="H35" s="356">
        <v>1851</v>
      </c>
      <c r="I35" s="356">
        <v>6</v>
      </c>
      <c r="J35" s="356">
        <v>0</v>
      </c>
      <c r="K35" s="356">
        <v>3</v>
      </c>
      <c r="L35" s="355">
        <f t="shared" si="1"/>
        <v>1860</v>
      </c>
      <c r="M35" s="5">
        <v>0</v>
      </c>
      <c r="N35" s="9"/>
    </row>
    <row r="36" spans="1:15" ht="13.5" customHeight="1" x14ac:dyDescent="0.2">
      <c r="A36" s="7">
        <v>25</v>
      </c>
      <c r="B36" s="361" t="s">
        <v>919</v>
      </c>
      <c r="C36" s="354">
        <v>1325</v>
      </c>
      <c r="D36" s="356">
        <v>10</v>
      </c>
      <c r="E36" s="5">
        <v>0</v>
      </c>
      <c r="F36" s="359">
        <v>18</v>
      </c>
      <c r="G36" s="358">
        <f t="shared" si="0"/>
        <v>1353</v>
      </c>
      <c r="H36" s="356">
        <v>1325</v>
      </c>
      <c r="I36" s="356">
        <v>10</v>
      </c>
      <c r="J36" s="356">
        <v>0</v>
      </c>
      <c r="K36" s="356">
        <v>18</v>
      </c>
      <c r="L36" s="355">
        <f t="shared" si="1"/>
        <v>1353</v>
      </c>
      <c r="M36" s="5">
        <v>0</v>
      </c>
      <c r="N36" s="9"/>
    </row>
    <row r="37" spans="1:15" ht="13.5" customHeight="1" x14ac:dyDescent="0.2">
      <c r="A37" s="7">
        <v>26</v>
      </c>
      <c r="B37" s="361" t="s">
        <v>914</v>
      </c>
      <c r="C37" s="354">
        <v>780</v>
      </c>
      <c r="D37" s="356">
        <v>7</v>
      </c>
      <c r="E37" s="5">
        <v>0</v>
      </c>
      <c r="F37" s="359">
        <v>1</v>
      </c>
      <c r="G37" s="358">
        <f t="shared" si="0"/>
        <v>788</v>
      </c>
      <c r="H37" s="356">
        <v>780</v>
      </c>
      <c r="I37" s="356">
        <v>7</v>
      </c>
      <c r="J37" s="356">
        <v>0</v>
      </c>
      <c r="K37" s="356">
        <v>1</v>
      </c>
      <c r="L37" s="355">
        <f t="shared" si="1"/>
        <v>788</v>
      </c>
      <c r="M37" s="5">
        <v>0</v>
      </c>
      <c r="N37" s="9"/>
    </row>
    <row r="38" spans="1:15" ht="13.5" customHeight="1" x14ac:dyDescent="0.2">
      <c r="A38" s="7">
        <v>27</v>
      </c>
      <c r="B38" s="362" t="s">
        <v>915</v>
      </c>
      <c r="C38" s="354">
        <v>1388</v>
      </c>
      <c r="D38" s="356">
        <v>12</v>
      </c>
      <c r="E38" s="5">
        <v>0</v>
      </c>
      <c r="F38" s="359">
        <v>12</v>
      </c>
      <c r="G38" s="358">
        <f t="shared" si="0"/>
        <v>1412</v>
      </c>
      <c r="H38" s="356">
        <v>1388</v>
      </c>
      <c r="I38" s="356">
        <v>12</v>
      </c>
      <c r="J38" s="356">
        <v>0</v>
      </c>
      <c r="K38" s="356">
        <v>12</v>
      </c>
      <c r="L38" s="355">
        <f t="shared" si="1"/>
        <v>1412</v>
      </c>
      <c r="M38" s="5">
        <v>0</v>
      </c>
      <c r="N38" s="9"/>
    </row>
    <row r="39" spans="1:15" x14ac:dyDescent="0.2">
      <c r="A39" s="3" t="s">
        <v>18</v>
      </c>
      <c r="B39" s="352"/>
      <c r="C39" s="9">
        <f t="shared" ref="C39:L39" si="2">SUM(C12:C38)</f>
        <v>30902</v>
      </c>
      <c r="D39" s="9">
        <f t="shared" si="2"/>
        <v>325</v>
      </c>
      <c r="E39" s="9">
        <f t="shared" si="2"/>
        <v>0</v>
      </c>
      <c r="F39" s="9">
        <f t="shared" si="2"/>
        <v>170</v>
      </c>
      <c r="G39" s="9">
        <f t="shared" si="2"/>
        <v>31397</v>
      </c>
      <c r="H39" s="9">
        <f t="shared" si="2"/>
        <v>30902</v>
      </c>
      <c r="I39" s="9">
        <f t="shared" si="2"/>
        <v>325</v>
      </c>
      <c r="J39" s="9">
        <f t="shared" si="2"/>
        <v>0</v>
      </c>
      <c r="K39" s="9">
        <f t="shared" si="2"/>
        <v>170</v>
      </c>
      <c r="L39" s="9">
        <f t="shared" si="2"/>
        <v>31397</v>
      </c>
      <c r="M39" s="9">
        <v>0</v>
      </c>
      <c r="N39" s="9"/>
    </row>
    <row r="40" spans="1:15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5" x14ac:dyDescent="0.2">
      <c r="A41" s="10" t="s">
        <v>8</v>
      </c>
    </row>
    <row r="42" spans="1:15" x14ac:dyDescent="0.2">
      <c r="A42" t="s">
        <v>9</v>
      </c>
    </row>
    <row r="43" spans="1:15" x14ac:dyDescent="0.2">
      <c r="A43" t="s">
        <v>10</v>
      </c>
      <c r="J43" s="11" t="s">
        <v>11</v>
      </c>
      <c r="K43" s="11"/>
      <c r="L43" s="11" t="s">
        <v>11</v>
      </c>
    </row>
    <row r="44" spans="1:15" x14ac:dyDescent="0.2">
      <c r="A44" s="15" t="s">
        <v>426</v>
      </c>
      <c r="J44" s="11"/>
      <c r="K44" s="11"/>
      <c r="L44" s="11"/>
    </row>
    <row r="45" spans="1:15" x14ac:dyDescent="0.2">
      <c r="C45" s="15" t="s">
        <v>427</v>
      </c>
      <c r="E45" s="12"/>
      <c r="F45" s="12"/>
      <c r="G45" s="12"/>
      <c r="H45" s="12"/>
      <c r="I45" s="12"/>
      <c r="J45" s="12"/>
      <c r="K45" s="12"/>
      <c r="L45" s="12"/>
      <c r="M45" s="12"/>
    </row>
    <row r="46" spans="1:15" x14ac:dyDescent="0.2">
      <c r="C46" s="15"/>
      <c r="E46" s="12"/>
      <c r="F46" s="12"/>
      <c r="G46" s="12"/>
      <c r="H46" s="12"/>
      <c r="I46" s="12"/>
      <c r="J46" s="12"/>
      <c r="K46" s="12"/>
      <c r="L46" s="12"/>
      <c r="M46" s="12"/>
    </row>
    <row r="47" spans="1:15" s="488" customFormat="1" ht="15.6" customHeight="1" x14ac:dyDescent="0.25">
      <c r="A47" s="13"/>
      <c r="B47" s="13"/>
      <c r="C47" s="13"/>
      <c r="D47" s="13"/>
      <c r="E47" s="13"/>
      <c r="F47" s="13"/>
      <c r="G47" s="13"/>
      <c r="J47" s="14"/>
      <c r="K47" s="567"/>
      <c r="L47" s="567"/>
      <c r="M47" s="567"/>
      <c r="N47" s="567"/>
      <c r="O47" s="567"/>
    </row>
    <row r="48" spans="1:15" s="488" customFormat="1" ht="15.6" customHeight="1" x14ac:dyDescent="0.2">
      <c r="A48" s="567"/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</row>
    <row r="49" spans="1:15" s="488" customFormat="1" ht="15.75" customHeight="1" x14ac:dyDescent="0.2">
      <c r="A49" s="567"/>
      <c r="B49" s="567"/>
      <c r="C49" s="567"/>
      <c r="D49" s="567"/>
      <c r="E49" s="567"/>
      <c r="F49" s="567"/>
      <c r="G49" s="567"/>
      <c r="H49" s="14"/>
      <c r="I49" s="810" t="s">
        <v>13</v>
      </c>
      <c r="J49" s="810"/>
      <c r="K49" s="810"/>
      <c r="L49" s="810"/>
      <c r="M49" s="810"/>
      <c r="N49" s="563"/>
      <c r="O49" s="567"/>
    </row>
    <row r="50" spans="1:15" s="488" customFormat="1" ht="12.75" customHeight="1" x14ac:dyDescent="0.2">
      <c r="A50" s="567"/>
      <c r="B50" s="567"/>
      <c r="C50" s="567"/>
      <c r="D50" s="567"/>
      <c r="E50" s="567"/>
      <c r="F50" s="567"/>
      <c r="G50" s="567"/>
      <c r="H50" s="563"/>
      <c r="I50" s="810" t="s">
        <v>14</v>
      </c>
      <c r="J50" s="810"/>
      <c r="K50" s="810"/>
      <c r="L50" s="810"/>
      <c r="M50" s="810"/>
      <c r="N50" s="563"/>
      <c r="O50" s="567"/>
    </row>
    <row r="51" spans="1:15" ht="12.75" customHeight="1" x14ac:dyDescent="0.2">
      <c r="A51" s="567"/>
      <c r="B51" s="567"/>
      <c r="C51" s="567"/>
      <c r="D51" s="567"/>
      <c r="E51" s="567"/>
      <c r="F51" s="567"/>
      <c r="G51" s="567"/>
      <c r="H51" s="810" t="s">
        <v>918</v>
      </c>
      <c r="I51" s="810"/>
      <c r="J51" s="810"/>
      <c r="K51" s="810"/>
      <c r="L51" s="810"/>
      <c r="M51" s="810"/>
      <c r="N51" s="810"/>
      <c r="O51" s="567"/>
    </row>
    <row r="52" spans="1:15" ht="12.75" customHeight="1" x14ac:dyDescent="0.25">
      <c r="A52" s="492" t="s">
        <v>12</v>
      </c>
      <c r="B52" s="567"/>
      <c r="C52" s="567"/>
      <c r="D52" s="567"/>
      <c r="E52" s="567"/>
      <c r="F52" s="567"/>
      <c r="G52" s="567"/>
      <c r="H52" s="811" t="s">
        <v>82</v>
      </c>
      <c r="I52" s="811"/>
      <c r="J52" s="811"/>
      <c r="K52" s="811"/>
      <c r="L52" s="811"/>
      <c r="M52" s="811"/>
      <c r="N52" s="811"/>
      <c r="O52" s="567"/>
    </row>
  </sheetData>
  <mergeCells count="16">
    <mergeCell ref="I49:M49"/>
    <mergeCell ref="I50:M50"/>
    <mergeCell ref="H51:N51"/>
    <mergeCell ref="H52:N52"/>
    <mergeCell ref="D1:I1"/>
    <mergeCell ref="A5:M5"/>
    <mergeCell ref="A3:M3"/>
    <mergeCell ref="A2:M2"/>
    <mergeCell ref="L1:M1"/>
    <mergeCell ref="H9:L9"/>
    <mergeCell ref="C9:G9"/>
    <mergeCell ref="N9:N10"/>
    <mergeCell ref="L8:N8"/>
    <mergeCell ref="M9:M10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71</vt:i4>
      </vt:variant>
    </vt:vector>
  </HeadingPairs>
  <TitlesOfParts>
    <vt:vector size="150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 </vt:lpstr>
      <vt:lpstr>AT18_Details_Community </vt:lpstr>
      <vt:lpstr>AT_19_Impl_Agency</vt:lpstr>
      <vt:lpstr>AT_20_CentralCookingagency  (2)</vt:lpstr>
      <vt:lpstr>AT-21</vt:lpstr>
      <vt:lpstr>AT-22</vt:lpstr>
      <vt:lpstr>AT-23 MIS</vt:lpstr>
      <vt:lpstr>AT-23A _AMS </vt:lpstr>
      <vt:lpstr>AT-24</vt:lpstr>
      <vt:lpstr>AT-25 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AT27E_Req_FG_Covid Summ -Pry</vt:lpstr>
      <vt:lpstr>AT27F_Req_FG_Covid-Summ-UPry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AT 34 MME Plan PS</vt:lpstr>
      <vt:lpstr>AT 34A MME Plan UPS </vt:lpstr>
      <vt:lpstr>Flexi Soya Milk</vt:lpstr>
      <vt:lpstr>Flexi Break Fast</vt:lpstr>
      <vt:lpstr>Flexi Egg</vt:lpstr>
      <vt:lpstr>Sheet6</vt:lpstr>
      <vt:lpstr>'AT_17_Coverage-RBSK  '!Print_Area</vt:lpstr>
      <vt:lpstr>AT_19_Impl_Agency!Print_Area</vt:lpstr>
      <vt:lpstr>'AT_20_CentralCookingagency  (2)'!Print_Area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 '!Print_Area</vt:lpstr>
      <vt:lpstr>'AT-24'!Print_Area</vt:lpstr>
      <vt:lpstr>'AT-25 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'AT27E_Req_FG_Covid Summ -Pry'!Print_Area</vt:lpstr>
      <vt:lpstr>'AT27F_Req_FG_Covid-Summ-UPry'!Print_Area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'Flexi Break Fast'!Print_Area</vt:lpstr>
      <vt:lpstr>'Flexi Egg'!Print_Area</vt:lpstr>
      <vt:lpstr>'Flexi Soya Milk'!Print_Area</vt:lpstr>
      <vt:lpstr>'Mode of cooking'!Print_Area</vt:lpstr>
      <vt:lpstr>Sheet1!Print_Area</vt:lpstr>
      <vt:lpstr>'Sheet1 (2)'!Print_Area</vt:lpstr>
      <vt:lpstr>Sheet6!Print_Area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2020-05-21T09:36:57Z</cp:lastPrinted>
  <dcterms:created xsi:type="dcterms:W3CDTF">1996-10-14T23:33:28Z</dcterms:created>
  <dcterms:modified xsi:type="dcterms:W3CDTF">2020-05-23T18:13:00Z</dcterms:modified>
</cp:coreProperties>
</file>